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gnettamu0-my.sharepoint.com/personal/pancho_abello_agnet_tamu_edu/Documents/Crop Decision Aids/"/>
    </mc:Choice>
  </mc:AlternateContent>
  <xr:revisionPtr revIDLastSave="0" documentId="8_{EFCA2FCC-3ED8-4997-B1E2-86F295EECE04}" xr6:coauthVersionLast="47" xr6:coauthVersionMax="47" xr10:uidLastSave="{00000000-0000-0000-0000-000000000000}"/>
  <bookViews>
    <workbookView xWindow="0" yWindow="300" windowWidth="18885" windowHeight="14700" xr2:uid="{C91D0FE8-EDD7-4AEC-9FCD-F20C7707563F}"/>
  </bookViews>
  <sheets>
    <sheet name="Contact Info" sheetId="52" r:id="rId1"/>
    <sheet name="WHEAT PRICES" sheetId="38" state="hidden" r:id="rId2"/>
    <sheet name="Wheat Farm Margins" sheetId="34" state="hidden" r:id="rId3"/>
    <sheet name="Assumptions" sheetId="14" r:id="rId4"/>
    <sheet name="Margins W GP" sheetId="37" r:id="rId5"/>
    <sheet name="Grain vs Hay" sheetId="51" r:id="rId6"/>
    <sheet name="Wheat - ROI - POG Pricing" sheetId="47" r:id="rId7"/>
    <sheet name="What - POG with No Drag Yields" sheetId="49" r:id="rId8"/>
    <sheet name="Grazing + Stockers" sheetId="41" state="hidden" r:id="rId9"/>
    <sheet name="Comb without stock" sheetId="44" state="hidden" r:id="rId10"/>
    <sheet name="Sheet9" sheetId="45" state="hidden" r:id="rId11"/>
    <sheet name="Comb with stokers" sheetId="42" state="hidden" r:id="rId12"/>
    <sheet name="Sheet10" sheetId="46" state="hidden" r:id="rId13"/>
    <sheet name="Weaning Weights" sheetId="39" state="hidden" r:id="rId14"/>
    <sheet name="Wheat Grain" sheetId="32" r:id="rId15"/>
    <sheet name="Wheat Dual  ~700Lb" sheetId="2" r:id="rId16"/>
    <sheet name="Wheat Dual ~800Lb" sheetId="12" r:id="rId17"/>
    <sheet name="Sheet7" sheetId="43" state="hidden" r:id="rId18"/>
    <sheet name="Wheat Graze Out" sheetId="5" r:id="rId19"/>
    <sheet name="Fescue Imp" sheetId="35" r:id="rId20"/>
    <sheet name="Fescue Established" sheetId="36" r:id="rId21"/>
    <sheet name="Triticale" sheetId="40" r:id="rId22"/>
    <sheet name="Irrigated Wheat" sheetId="21" r:id="rId23"/>
  </sheets>
  <externalReferences>
    <externalReference r:id="rId24"/>
  </externalReferences>
  <definedNames>
    <definedName name="FuelperGallon">#REF!</definedName>
    <definedName name="Labor_R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6" i="37" l="1"/>
  <c r="I45" i="37"/>
  <c r="B45" i="37"/>
  <c r="B46" i="37"/>
  <c r="F38" i="32" l="1"/>
  <c r="F37" i="32"/>
  <c r="F24" i="32"/>
  <c r="F17" i="32"/>
  <c r="F12" i="32"/>
  <c r="F11" i="32"/>
  <c r="X44" i="37" l="1"/>
  <c r="AA44" i="37"/>
  <c r="AB44" i="37"/>
  <c r="F45" i="21" l="1"/>
  <c r="F44" i="21"/>
  <c r="F43" i="21"/>
  <c r="F42" i="21"/>
  <c r="F41" i="21"/>
  <c r="F39" i="21"/>
  <c r="F38" i="21"/>
  <c r="AE43" i="37"/>
  <c r="AD44" i="37"/>
  <c r="AD35" i="37"/>
  <c r="AE34" i="37"/>
  <c r="I31" i="51"/>
  <c r="I30" i="51"/>
  <c r="I28" i="51"/>
  <c r="I27" i="51"/>
  <c r="P12" i="51"/>
  <c r="N41" i="51"/>
  <c r="M41" i="51"/>
  <c r="L41" i="51"/>
  <c r="K41" i="51"/>
  <c r="J41" i="51"/>
  <c r="I41" i="51"/>
  <c r="H41" i="51"/>
  <c r="G41" i="51"/>
  <c r="F41" i="51"/>
  <c r="E41" i="51"/>
  <c r="D41" i="51"/>
  <c r="C41" i="51"/>
  <c r="A44" i="51"/>
  <c r="A42" i="51"/>
  <c r="B38" i="51"/>
  <c r="B36" i="51"/>
  <c r="L26" i="51"/>
  <c r="K26" i="51" s="1"/>
  <c r="G5" i="51"/>
  <c r="E26" i="51" s="1"/>
  <c r="D3" i="32"/>
  <c r="G3" i="51" s="1"/>
  <c r="B29" i="51" s="1"/>
  <c r="AB17" i="37"/>
  <c r="G5" i="37"/>
  <c r="L5" i="5"/>
  <c r="K5" i="5"/>
  <c r="AL35" i="37"/>
  <c r="AL44" i="37" s="1"/>
  <c r="AO35" i="37"/>
  <c r="AO44" i="37" s="1"/>
  <c r="AP35" i="37"/>
  <c r="AP44" i="37" s="1"/>
  <c r="F11" i="5"/>
  <c r="F11" i="2"/>
  <c r="F18" i="32"/>
  <c r="I29" i="51" l="1"/>
  <c r="B37" i="51"/>
  <c r="J26" i="51"/>
  <c r="M26" i="51"/>
  <c r="N26" i="51"/>
  <c r="G7" i="51"/>
  <c r="G9" i="51" s="1"/>
  <c r="C26" i="51"/>
  <c r="D26" i="51"/>
  <c r="F26" i="51"/>
  <c r="G26" i="51"/>
  <c r="AG26" i="37"/>
  <c r="AG35" i="37" s="1"/>
  <c r="AI35" i="37" l="1"/>
  <c r="AG44" i="37"/>
  <c r="AE35" i="37"/>
  <c r="AH35" i="37"/>
  <c r="AF35" i="37"/>
  <c r="A43" i="51"/>
  <c r="N3" i="51"/>
  <c r="AI26" i="37"/>
  <c r="AH26" i="37"/>
  <c r="AF26" i="37"/>
  <c r="AE26" i="37"/>
  <c r="AF44" i="37" l="1"/>
  <c r="AI44" i="37"/>
  <c r="AE44" i="37"/>
  <c r="AH44" i="37"/>
  <c r="N12" i="51"/>
  <c r="N7" i="51"/>
  <c r="N9" i="51" s="1"/>
  <c r="F20" i="2"/>
  <c r="F19" i="2"/>
  <c r="F18" i="2"/>
  <c r="F17" i="2"/>
  <c r="F16" i="2"/>
  <c r="F15" i="2"/>
  <c r="F14" i="2"/>
  <c r="F13" i="2"/>
  <c r="F12" i="2"/>
  <c r="F10" i="2"/>
  <c r="F24" i="2"/>
  <c r="F24" i="12" s="1"/>
  <c r="AB26" i="34"/>
  <c r="AA26" i="34"/>
  <c r="X26" i="34"/>
  <c r="G5" i="42"/>
  <c r="G5" i="44"/>
  <c r="G5" i="41"/>
  <c r="G5" i="49"/>
  <c r="E26" i="49" s="1"/>
  <c r="G5" i="47"/>
  <c r="S32" i="47"/>
  <c r="AB17" i="49"/>
  <c r="AB12" i="49"/>
  <c r="AB3" i="49"/>
  <c r="N5" i="49" l="1"/>
  <c r="U5" i="49" s="1"/>
  <c r="S26" i="49" s="1"/>
  <c r="U26" i="49" s="1"/>
  <c r="F26" i="49"/>
  <c r="G26" i="49"/>
  <c r="C26" i="49"/>
  <c r="Z35" i="49"/>
  <c r="D26" i="49"/>
  <c r="Q26" i="49" l="1"/>
  <c r="Q35" i="49" s="1"/>
  <c r="S35" i="49"/>
  <c r="R26" i="49"/>
  <c r="R35" i="49" s="1"/>
  <c r="T26" i="49"/>
  <c r="T35" i="49" s="1"/>
  <c r="L26" i="49"/>
  <c r="M26" i="49" s="1"/>
  <c r="AA35" i="49"/>
  <c r="Y35" i="49"/>
  <c r="AB35" i="49"/>
  <c r="X35" i="49"/>
  <c r="U35" i="49"/>
  <c r="N26" i="49" l="1"/>
  <c r="N35" i="49" s="1"/>
  <c r="K26" i="49"/>
  <c r="K35" i="49" s="1"/>
  <c r="L35" i="49"/>
  <c r="J26" i="49"/>
  <c r="J35" i="49" s="1"/>
  <c r="M35" i="49"/>
  <c r="AA44" i="47" l="1"/>
  <c r="T44" i="47"/>
  <c r="M44" i="47"/>
  <c r="N44" i="47" s="1"/>
  <c r="E26" i="47"/>
  <c r="F26" i="47" s="1"/>
  <c r="AA35" i="47" s="1"/>
  <c r="AB17" i="47"/>
  <c r="AB12" i="47"/>
  <c r="N5" i="47"/>
  <c r="L26" i="47" s="1"/>
  <c r="L35" i="47" s="1"/>
  <c r="AB3" i="47"/>
  <c r="K5" i="2"/>
  <c r="K5" i="12" s="1"/>
  <c r="Z35" i="47" l="1"/>
  <c r="E44" i="47"/>
  <c r="C44" i="47" s="1"/>
  <c r="U44" i="47"/>
  <c r="C26" i="47"/>
  <c r="X35" i="47" s="1"/>
  <c r="U5" i="47"/>
  <c r="S26" i="47" s="1"/>
  <c r="S35" i="47" s="1"/>
  <c r="D26" i="47"/>
  <c r="Y35" i="47" s="1"/>
  <c r="N26" i="47"/>
  <c r="N35" i="47" s="1"/>
  <c r="K26" i="47"/>
  <c r="K35" i="47" s="1"/>
  <c r="J26" i="47"/>
  <c r="J35" i="47" s="1"/>
  <c r="M26" i="47"/>
  <c r="M35" i="47" s="1"/>
  <c r="G26" i="47"/>
  <c r="AB35" i="47" s="1"/>
  <c r="F12" i="40"/>
  <c r="F17" i="40"/>
  <c r="F18" i="40"/>
  <c r="F11" i="36"/>
  <c r="F38" i="35"/>
  <c r="F37" i="35"/>
  <c r="F18" i="35"/>
  <c r="F17" i="35"/>
  <c r="F12" i="35"/>
  <c r="F11" i="35"/>
  <c r="I32" i="32"/>
  <c r="O15" i="32"/>
  <c r="M13" i="32"/>
  <c r="F44" i="47" l="1"/>
  <c r="D44" i="47"/>
  <c r="G44" i="47"/>
  <c r="R26" i="47"/>
  <c r="R35" i="47" s="1"/>
  <c r="Q26" i="47"/>
  <c r="Q35" i="47" s="1"/>
  <c r="T26" i="47"/>
  <c r="T35" i="47" s="1"/>
  <c r="U26" i="47"/>
  <c r="U35" i="47" s="1"/>
  <c r="AQ7" i="41"/>
  <c r="AL49" i="44"/>
  <c r="AL58" i="44" s="1"/>
  <c r="AO49" i="44"/>
  <c r="AO58" i="44" s="1"/>
  <c r="AP49" i="44"/>
  <c r="AP58" i="44"/>
  <c r="AB44" i="45"/>
  <c r="AA44" i="45"/>
  <c r="X44" i="45"/>
  <c r="AP35" i="45"/>
  <c r="AP44" i="45" s="1"/>
  <c r="AO35" i="45"/>
  <c r="AO44" i="45" s="1"/>
  <c r="AN35" i="45"/>
  <c r="AN44" i="45" s="1"/>
  <c r="AL35" i="45"/>
  <c r="AL44" i="45" s="1"/>
  <c r="AB35" i="45"/>
  <c r="AA35" i="45"/>
  <c r="E35" i="45"/>
  <c r="F35" i="45" s="1"/>
  <c r="E26" i="45"/>
  <c r="G26" i="45" s="1"/>
  <c r="C26" i="45"/>
  <c r="AP17" i="45"/>
  <c r="AB17" i="45"/>
  <c r="AB12" i="45"/>
  <c r="N5" i="45"/>
  <c r="L26" i="45" s="1"/>
  <c r="AB3" i="45"/>
  <c r="U34" i="44"/>
  <c r="AB34" i="44" s="1"/>
  <c r="AI34" i="44" s="1"/>
  <c r="T34" i="44"/>
  <c r="S34" i="44"/>
  <c r="R34" i="44"/>
  <c r="Q34" i="44"/>
  <c r="AI34" i="42"/>
  <c r="AH34" i="42"/>
  <c r="AG34" i="42"/>
  <c r="AF34" i="42"/>
  <c r="AE34" i="42"/>
  <c r="AB34" i="42"/>
  <c r="AA34" i="42"/>
  <c r="Z34" i="42"/>
  <c r="Y34" i="42"/>
  <c r="X34" i="42"/>
  <c r="U34" i="42"/>
  <c r="T34" i="42"/>
  <c r="S34" i="42"/>
  <c r="R34" i="42"/>
  <c r="Q34" i="42"/>
  <c r="U5" i="45" l="1"/>
  <c r="S26" i="45" s="1"/>
  <c r="Q26" i="45" s="1"/>
  <c r="C35" i="45"/>
  <c r="G35" i="45"/>
  <c r="E44" i="45"/>
  <c r="D44" i="45" s="1"/>
  <c r="X34" i="44"/>
  <c r="Y34" i="44"/>
  <c r="Z34" i="44"/>
  <c r="F26" i="45"/>
  <c r="AM35" i="45"/>
  <c r="AM44" i="45" s="1"/>
  <c r="AA34" i="44"/>
  <c r="N26" i="45"/>
  <c r="M26" i="45"/>
  <c r="K26" i="45"/>
  <c r="J26" i="45"/>
  <c r="L35" i="45"/>
  <c r="R26" i="45"/>
  <c r="U26" i="45"/>
  <c r="D26" i="45"/>
  <c r="S35" i="45"/>
  <c r="D35" i="45"/>
  <c r="E25" i="44"/>
  <c r="N5" i="44"/>
  <c r="L25" i="44" s="1"/>
  <c r="N5" i="42"/>
  <c r="L25" i="42" s="1"/>
  <c r="E25" i="42"/>
  <c r="F25" i="42" s="1"/>
  <c r="P36" i="12"/>
  <c r="O36" i="12"/>
  <c r="N15" i="5"/>
  <c r="N11" i="5"/>
  <c r="N10" i="5"/>
  <c r="AB35" i="34"/>
  <c r="AB44" i="34" s="1"/>
  <c r="AA35" i="34"/>
  <c r="AA44" i="34" s="1"/>
  <c r="X35" i="34"/>
  <c r="X44" i="34" s="1"/>
  <c r="AB35" i="37"/>
  <c r="AA35" i="37"/>
  <c r="T6" i="5"/>
  <c r="T7" i="5"/>
  <c r="T26" i="45" l="1"/>
  <c r="F44" i="45"/>
  <c r="C44" i="45"/>
  <c r="AH34" i="44"/>
  <c r="AE34" i="44"/>
  <c r="U5" i="44"/>
  <c r="S25" i="44" s="1"/>
  <c r="S49" i="44" s="1"/>
  <c r="AG34" i="44"/>
  <c r="AF34" i="44"/>
  <c r="G44" i="45"/>
  <c r="S44" i="45"/>
  <c r="U35" i="45"/>
  <c r="T35" i="45"/>
  <c r="R35" i="45"/>
  <c r="Q35" i="45"/>
  <c r="L44" i="45"/>
  <c r="N35" i="45"/>
  <c r="M35" i="45"/>
  <c r="K35" i="45"/>
  <c r="J35" i="45"/>
  <c r="N25" i="44"/>
  <c r="M25" i="44"/>
  <c r="L49" i="44"/>
  <c r="K25" i="44"/>
  <c r="J25" i="44"/>
  <c r="C25" i="44"/>
  <c r="D25" i="44"/>
  <c r="E49" i="44"/>
  <c r="F25" i="44"/>
  <c r="G25" i="44"/>
  <c r="J25" i="42"/>
  <c r="K25" i="42"/>
  <c r="M25" i="42"/>
  <c r="L45" i="42"/>
  <c r="N25" i="42"/>
  <c r="C25" i="42"/>
  <c r="E45" i="42"/>
  <c r="D25" i="42"/>
  <c r="G25" i="42"/>
  <c r="U5" i="42"/>
  <c r="N9" i="2"/>
  <c r="L18" i="12"/>
  <c r="S16" i="12"/>
  <c r="U16" i="12" s="1"/>
  <c r="L16" i="12"/>
  <c r="P16" i="12" s="1"/>
  <c r="K16" i="12"/>
  <c r="K26" i="12" s="1"/>
  <c r="Z25" i="44" l="1"/>
  <c r="AG25" i="44" s="1"/>
  <c r="T25" i="44"/>
  <c r="U25" i="44"/>
  <c r="Q25" i="44"/>
  <c r="R25" i="44"/>
  <c r="Y25" i="44" s="1"/>
  <c r="N44" i="45"/>
  <c r="M44" i="45"/>
  <c r="K44" i="45"/>
  <c r="J44" i="45"/>
  <c r="U44" i="45"/>
  <c r="T44" i="45"/>
  <c r="R44" i="45"/>
  <c r="Q44" i="45"/>
  <c r="N49" i="44"/>
  <c r="M49" i="44"/>
  <c r="L58" i="44"/>
  <c r="K49" i="44"/>
  <c r="J49" i="44"/>
  <c r="T49" i="44"/>
  <c r="S58" i="44"/>
  <c r="R49" i="44"/>
  <c r="Q49" i="44"/>
  <c r="U49" i="44"/>
  <c r="G49" i="44"/>
  <c r="F49" i="44"/>
  <c r="E58" i="44"/>
  <c r="D49" i="44"/>
  <c r="C49" i="44"/>
  <c r="L54" i="42"/>
  <c r="N45" i="42"/>
  <c r="M45" i="42"/>
  <c r="J45" i="42"/>
  <c r="K45" i="42"/>
  <c r="C45" i="42"/>
  <c r="D45" i="42"/>
  <c r="E54" i="42"/>
  <c r="F45" i="42"/>
  <c r="G45" i="42"/>
  <c r="S25" i="42"/>
  <c r="Z25" i="42" s="1"/>
  <c r="AG25" i="42" s="1"/>
  <c r="AG45" i="42" s="1"/>
  <c r="AG54" i="42" s="1"/>
  <c r="Z45" i="42" l="1"/>
  <c r="Y45" i="42" s="1"/>
  <c r="Y54" i="42" s="1"/>
  <c r="AF45" i="42"/>
  <c r="AF54" i="42" s="1"/>
  <c r="AA25" i="44"/>
  <c r="AB25" i="44"/>
  <c r="X25" i="44"/>
  <c r="AE25" i="44" s="1"/>
  <c r="Z49" i="44"/>
  <c r="Z58" i="44" s="1"/>
  <c r="G58" i="44"/>
  <c r="F58" i="44"/>
  <c r="D58" i="44"/>
  <c r="C58" i="44"/>
  <c r="AB49" i="44"/>
  <c r="AB58" i="44" s="1"/>
  <c r="U58" i="44"/>
  <c r="T58" i="44"/>
  <c r="R58" i="44"/>
  <c r="Q58" i="44"/>
  <c r="AG49" i="44"/>
  <c r="AF25" i="44"/>
  <c r="N58" i="44"/>
  <c r="M58" i="44"/>
  <c r="K58" i="44"/>
  <c r="J58" i="44"/>
  <c r="M54" i="42"/>
  <c r="N54" i="42"/>
  <c r="K54" i="42"/>
  <c r="J54" i="42"/>
  <c r="F54" i="42"/>
  <c r="D54" i="42"/>
  <c r="G54" i="42"/>
  <c r="C54" i="42"/>
  <c r="S45" i="42"/>
  <c r="U25" i="42"/>
  <c r="AB25" i="42" s="1"/>
  <c r="T25" i="42"/>
  <c r="AA25" i="42" s="1"/>
  <c r="Q25" i="42"/>
  <c r="X25" i="42" s="1"/>
  <c r="R25" i="42"/>
  <c r="Y25" i="42" s="1"/>
  <c r="AF25" i="42" s="1"/>
  <c r="Z54" i="42" l="1"/>
  <c r="AH25" i="42"/>
  <c r="AH45" i="42" s="1"/>
  <c r="AH54" i="42" s="1"/>
  <c r="AA45" i="42"/>
  <c r="AA54" i="42" s="1"/>
  <c r="AE25" i="42"/>
  <c r="AE45" i="42" s="1"/>
  <c r="AE54" i="42" s="1"/>
  <c r="X45" i="42"/>
  <c r="X54" i="42" s="1"/>
  <c r="AI25" i="42"/>
  <c r="AI45" i="42" s="1"/>
  <c r="AI54" i="42" s="1"/>
  <c r="AB45" i="42"/>
  <c r="AB54" i="42" s="1"/>
  <c r="AA49" i="44"/>
  <c r="AA58" i="44" s="1"/>
  <c r="AH25" i="44"/>
  <c r="Y49" i="44"/>
  <c r="Y58" i="44" s="1"/>
  <c r="X49" i="44"/>
  <c r="X58" i="44" s="1"/>
  <c r="AI25" i="44"/>
  <c r="AI49" i="44" s="1"/>
  <c r="AI58" i="44" s="1"/>
  <c r="AH49" i="44"/>
  <c r="AH58" i="44" s="1"/>
  <c r="AG58" i="44"/>
  <c r="AF49" i="44"/>
  <c r="AF58" i="44" s="1"/>
  <c r="AE49" i="44"/>
  <c r="AE58" i="44" s="1"/>
  <c r="U45" i="42"/>
  <c r="S54" i="42"/>
  <c r="T45" i="42"/>
  <c r="Q45" i="42"/>
  <c r="R45" i="42"/>
  <c r="U54" i="42" l="1"/>
  <c r="T54" i="42"/>
  <c r="R54" i="42"/>
  <c r="Q54" i="42"/>
  <c r="AP33" i="41" l="1"/>
  <c r="AP42" i="41" s="1"/>
  <c r="AO33" i="41"/>
  <c r="AO42" i="41" s="1"/>
  <c r="AN33" i="41"/>
  <c r="AM33" i="41" s="1"/>
  <c r="AM42" i="41" s="1"/>
  <c r="AL33" i="41"/>
  <c r="AL42" i="41" s="1"/>
  <c r="AI33" i="41"/>
  <c r="AI42" i="41" s="1"/>
  <c r="AH33" i="41"/>
  <c r="AH42" i="41" s="1"/>
  <c r="AE33" i="41"/>
  <c r="AE42" i="41" s="1"/>
  <c r="E24" i="41"/>
  <c r="C24" i="41" s="1"/>
  <c r="AP17" i="41"/>
  <c r="AB17" i="41"/>
  <c r="AB12" i="41"/>
  <c r="AP9" i="41"/>
  <c r="AI9" i="41"/>
  <c r="N5" i="41"/>
  <c r="L24" i="41" s="1"/>
  <c r="AB3" i="41"/>
  <c r="F38" i="5"/>
  <c r="F37" i="5"/>
  <c r="F12" i="36"/>
  <c r="F20" i="36"/>
  <c r="F37" i="40"/>
  <c r="D24" i="41" l="1"/>
  <c r="G24" i="41"/>
  <c r="E33" i="41"/>
  <c r="C33" i="41" s="1"/>
  <c r="AN42" i="41"/>
  <c r="N24" i="41"/>
  <c r="M24" i="41"/>
  <c r="K24" i="41"/>
  <c r="J24" i="41"/>
  <c r="L33" i="41"/>
  <c r="U5" i="41"/>
  <c r="F24" i="41"/>
  <c r="Q15" i="32"/>
  <c r="P15" i="32"/>
  <c r="L13" i="32"/>
  <c r="J11" i="32"/>
  <c r="AU44" i="37"/>
  <c r="AW35" i="37"/>
  <c r="AW44" i="37" s="1"/>
  <c r="AV35" i="37"/>
  <c r="AV44" i="37" s="1"/>
  <c r="AU35" i="37"/>
  <c r="AT35" i="37" s="1"/>
  <c r="AT44" i="37" s="1"/>
  <c r="AS35" i="37"/>
  <c r="AS44" i="37" s="1"/>
  <c r="AP35" i="34"/>
  <c r="AP44" i="34" s="1"/>
  <c r="AO35" i="34"/>
  <c r="AO44" i="34" s="1"/>
  <c r="AN35" i="34"/>
  <c r="AN44" i="34" s="1"/>
  <c r="AM35" i="34"/>
  <c r="AM44" i="34" s="1"/>
  <c r="AL35" i="34"/>
  <c r="AL44" i="34" s="1"/>
  <c r="L5" i="40"/>
  <c r="N24" i="40"/>
  <c r="P24" i="40"/>
  <c r="O24" i="40"/>
  <c r="O23" i="40"/>
  <c r="N23" i="40"/>
  <c r="N16" i="40"/>
  <c r="O16" i="40"/>
  <c r="P16" i="40"/>
  <c r="P23" i="40"/>
  <c r="P15" i="40"/>
  <c r="P22" i="40"/>
  <c r="N22" i="40"/>
  <c r="N15" i="40"/>
  <c r="N21" i="40"/>
  <c r="N14" i="40"/>
  <c r="P19" i="40"/>
  <c r="P12" i="40"/>
  <c r="G10" i="40"/>
  <c r="G45" i="40"/>
  <c r="G44" i="40"/>
  <c r="G43" i="40"/>
  <c r="G42" i="40"/>
  <c r="G41" i="40"/>
  <c r="G40" i="40"/>
  <c r="G39" i="40"/>
  <c r="G38" i="40"/>
  <c r="G37" i="40"/>
  <c r="G47" i="40" s="1"/>
  <c r="AP17" i="34" s="1"/>
  <c r="F34" i="40"/>
  <c r="G29" i="40"/>
  <c r="G26" i="40"/>
  <c r="G24" i="40"/>
  <c r="F21" i="40"/>
  <c r="G20" i="40"/>
  <c r="G19" i="40"/>
  <c r="G18" i="40"/>
  <c r="G17" i="40"/>
  <c r="G16" i="40"/>
  <c r="G15" i="40"/>
  <c r="G14" i="40"/>
  <c r="G12" i="40"/>
  <c r="G6" i="40"/>
  <c r="L4" i="40"/>
  <c r="K4" i="40"/>
  <c r="F52" i="40"/>
  <c r="G1" i="40"/>
  <c r="G33" i="41" l="1"/>
  <c r="E42" i="41"/>
  <c r="C42" i="41" s="1"/>
  <c r="D33" i="41"/>
  <c r="F33" i="41"/>
  <c r="S24" i="41"/>
  <c r="L42" i="41"/>
  <c r="N33" i="41"/>
  <c r="M33" i="41"/>
  <c r="K33" i="41"/>
  <c r="J33" i="41"/>
  <c r="AW17" i="37"/>
  <c r="G27" i="40"/>
  <c r="G3" i="40"/>
  <c r="F42" i="41" l="1"/>
  <c r="G42" i="41"/>
  <c r="D42" i="41"/>
  <c r="S33" i="41"/>
  <c r="U24" i="41"/>
  <c r="T24" i="41"/>
  <c r="Q24" i="41"/>
  <c r="R24" i="41"/>
  <c r="N42" i="41"/>
  <c r="M42" i="41"/>
  <c r="K42" i="41"/>
  <c r="J42" i="41"/>
  <c r="S42" i="41" l="1"/>
  <c r="U33" i="41"/>
  <c r="T33" i="41"/>
  <c r="R33" i="41"/>
  <c r="Q33" i="41"/>
  <c r="U42" i="41" l="1"/>
  <c r="T42" i="41"/>
  <c r="R42" i="41"/>
  <c r="Q42" i="41"/>
  <c r="Q20" i="36" l="1"/>
  <c r="G14" i="39" l="1"/>
  <c r="G13" i="39"/>
  <c r="G12" i="39"/>
  <c r="G11" i="39"/>
  <c r="G10" i="39"/>
  <c r="K5" i="39"/>
  <c r="K4" i="39"/>
  <c r="K3" i="39"/>
  <c r="K2" i="39"/>
  <c r="I5" i="39"/>
  <c r="I4" i="39"/>
  <c r="I3" i="39"/>
  <c r="I2" i="39"/>
  <c r="D4" i="39"/>
  <c r="J11" i="38"/>
  <c r="H12" i="38"/>
  <c r="H11" i="38"/>
  <c r="H10" i="38"/>
  <c r="G9" i="38"/>
  <c r="AB12" i="37"/>
  <c r="E26" i="37"/>
  <c r="AB3" i="37"/>
  <c r="AI35" i="34"/>
  <c r="AI44" i="34" s="1"/>
  <c r="AH35" i="34"/>
  <c r="AH44" i="34" s="1"/>
  <c r="AE35" i="34"/>
  <c r="AE44" i="34" s="1"/>
  <c r="F26" i="37" l="1"/>
  <c r="D26" i="37"/>
  <c r="C26" i="37"/>
  <c r="E35" i="37"/>
  <c r="G26" i="37"/>
  <c r="N5" i="37"/>
  <c r="AB3" i="34"/>
  <c r="AB12" i="34"/>
  <c r="G38" i="35"/>
  <c r="F42" i="35"/>
  <c r="F41" i="35"/>
  <c r="F40" i="35"/>
  <c r="G40" i="35" s="1"/>
  <c r="F39" i="35"/>
  <c r="G39" i="35" s="1"/>
  <c r="G37" i="35"/>
  <c r="K4" i="35"/>
  <c r="F52" i="36"/>
  <c r="G45" i="36"/>
  <c r="G44" i="36"/>
  <c r="G42" i="36"/>
  <c r="G41" i="36"/>
  <c r="G40" i="36"/>
  <c r="G39" i="36"/>
  <c r="G38" i="36"/>
  <c r="G37" i="36"/>
  <c r="F34" i="36"/>
  <c r="G29" i="36"/>
  <c r="G26" i="36"/>
  <c r="G27" i="36" s="1"/>
  <c r="G24" i="36"/>
  <c r="F21" i="36"/>
  <c r="G20" i="36"/>
  <c r="G18" i="36"/>
  <c r="G17" i="36"/>
  <c r="G16" i="36"/>
  <c r="G15" i="36"/>
  <c r="K14" i="36"/>
  <c r="G14" i="36"/>
  <c r="N13" i="36"/>
  <c r="P12" i="36"/>
  <c r="G12" i="36"/>
  <c r="P11" i="36"/>
  <c r="G10" i="36"/>
  <c r="L7" i="36"/>
  <c r="G6" i="36"/>
  <c r="T5" i="36"/>
  <c r="F5" i="36"/>
  <c r="D5" i="36"/>
  <c r="G5" i="36" s="1"/>
  <c r="G3" i="36"/>
  <c r="G1" i="36"/>
  <c r="D4" i="35"/>
  <c r="N13" i="35"/>
  <c r="P12" i="35"/>
  <c r="P11" i="35"/>
  <c r="L7" i="35"/>
  <c r="K14" i="35"/>
  <c r="F52" i="35"/>
  <c r="G45" i="35"/>
  <c r="G44" i="35"/>
  <c r="G43" i="35"/>
  <c r="G42" i="35"/>
  <c r="G41" i="35"/>
  <c r="F34" i="35"/>
  <c r="G29" i="35"/>
  <c r="G26" i="35"/>
  <c r="G27" i="35" s="1"/>
  <c r="G24" i="35"/>
  <c r="F21" i="35"/>
  <c r="G18" i="35"/>
  <c r="G17" i="35"/>
  <c r="G16" i="35"/>
  <c r="G15" i="35"/>
  <c r="G14" i="35"/>
  <c r="G12" i="35"/>
  <c r="G11" i="35"/>
  <c r="G10" i="35"/>
  <c r="G6" i="35"/>
  <c r="Q5" i="35"/>
  <c r="D5" i="35"/>
  <c r="Q4" i="35"/>
  <c r="Q6" i="35" s="1"/>
  <c r="Q7" i="35" s="1"/>
  <c r="G3" i="35"/>
  <c r="G1" i="35"/>
  <c r="G11" i="36"/>
  <c r="F20" i="12"/>
  <c r="F19" i="12"/>
  <c r="F18" i="12"/>
  <c r="F18" i="5" s="1"/>
  <c r="F17" i="12"/>
  <c r="F17" i="5" s="1"/>
  <c r="F16" i="12"/>
  <c r="F16" i="5" s="1"/>
  <c r="F15" i="12"/>
  <c r="F15" i="5" s="1"/>
  <c r="F14" i="12"/>
  <c r="F13" i="12"/>
  <c r="F12" i="12"/>
  <c r="F12" i="5" s="1"/>
  <c r="F11" i="12"/>
  <c r="F10" i="12"/>
  <c r="F10" i="5" s="1"/>
  <c r="F13" i="40" l="1"/>
  <c r="G13" i="40" s="1"/>
  <c r="F13" i="5"/>
  <c r="F19" i="36"/>
  <c r="G19" i="36" s="1"/>
  <c r="F19" i="5"/>
  <c r="G20" i="35"/>
  <c r="F20" i="5"/>
  <c r="F11" i="40"/>
  <c r="G11" i="40" s="1"/>
  <c r="G21" i="40" s="1"/>
  <c r="G22" i="40" s="1"/>
  <c r="F13" i="36"/>
  <c r="G13" i="36" s="1"/>
  <c r="G21" i="36" s="1"/>
  <c r="G22" i="36" s="1"/>
  <c r="AP11" i="37" s="1"/>
  <c r="AP13" i="37" s="1"/>
  <c r="F19" i="35"/>
  <c r="G19" i="35" s="1"/>
  <c r="F13" i="35"/>
  <c r="G13" i="35" s="1"/>
  <c r="G21" i="35" s="1"/>
  <c r="G22" i="35" s="1"/>
  <c r="G31" i="35" s="1"/>
  <c r="U5" i="37"/>
  <c r="L26" i="37"/>
  <c r="G35" i="37"/>
  <c r="F35" i="37"/>
  <c r="E44" i="37"/>
  <c r="D35" i="37"/>
  <c r="C35" i="37"/>
  <c r="AG35" i="34"/>
  <c r="AG44" i="34" s="1"/>
  <c r="G47" i="35"/>
  <c r="F5" i="35"/>
  <c r="G5" i="35" s="1"/>
  <c r="AP11" i="41" l="1"/>
  <c r="AP13" i="41" s="1"/>
  <c r="AP15" i="41" s="1"/>
  <c r="AP19" i="41" s="1"/>
  <c r="AP11" i="34"/>
  <c r="AP13" i="34" s="1"/>
  <c r="G31" i="40"/>
  <c r="G49" i="40" s="1"/>
  <c r="AP11" i="45"/>
  <c r="AP13" i="45" s="1"/>
  <c r="AW11" i="37"/>
  <c r="AW13" i="37" s="1"/>
  <c r="AP12" i="44"/>
  <c r="AP14" i="44" s="1"/>
  <c r="AI11" i="41"/>
  <c r="AI13" i="41" s="1"/>
  <c r="AI15" i="41" s="1"/>
  <c r="G31" i="36"/>
  <c r="AI11" i="34"/>
  <c r="AI13" i="34" s="1"/>
  <c r="S26" i="37"/>
  <c r="Q26" i="37" s="1"/>
  <c r="J26" i="37"/>
  <c r="L35" i="37"/>
  <c r="N26" i="37"/>
  <c r="M26" i="37"/>
  <c r="K26" i="37"/>
  <c r="G44" i="37"/>
  <c r="F44" i="37"/>
  <c r="D44" i="37"/>
  <c r="C44" i="37"/>
  <c r="AF35" i="34"/>
  <c r="AF44" i="34" s="1"/>
  <c r="G49" i="35"/>
  <c r="F42" i="12"/>
  <c r="F40" i="12"/>
  <c r="F37" i="12"/>
  <c r="F42" i="2"/>
  <c r="F40" i="2"/>
  <c r="F37" i="2"/>
  <c r="R26" i="37" l="1"/>
  <c r="U26" i="37"/>
  <c r="S35" i="37"/>
  <c r="U35" i="37" s="1"/>
  <c r="T26" i="37"/>
  <c r="N35" i="37"/>
  <c r="M35" i="37"/>
  <c r="L44" i="37"/>
  <c r="K35" i="37"/>
  <c r="J35" i="37"/>
  <c r="S44" i="37" l="1"/>
  <c r="T44" i="37" s="1"/>
  <c r="T35" i="37"/>
  <c r="R35" i="37"/>
  <c r="Q35" i="37"/>
  <c r="N44" i="37"/>
  <c r="M44" i="37"/>
  <c r="K44" i="37"/>
  <c r="J44" i="37"/>
  <c r="U44" i="37" l="1"/>
  <c r="Q44" i="37"/>
  <c r="R44" i="37"/>
  <c r="F21" i="21"/>
  <c r="F21" i="5"/>
  <c r="F21" i="12"/>
  <c r="F21" i="2"/>
  <c r="L5" i="12"/>
  <c r="F21" i="32"/>
  <c r="G3" i="49"/>
  <c r="F45" i="32"/>
  <c r="G45" i="32" s="1"/>
  <c r="F44" i="32"/>
  <c r="G44" i="32" s="1"/>
  <c r="F43" i="32"/>
  <c r="G42" i="32"/>
  <c r="F41" i="32"/>
  <c r="G40" i="32"/>
  <c r="F39" i="32"/>
  <c r="G37" i="32"/>
  <c r="G29" i="32"/>
  <c r="G26" i="32"/>
  <c r="G20" i="32"/>
  <c r="G19" i="32"/>
  <c r="G18" i="32"/>
  <c r="G17" i="32"/>
  <c r="G15" i="32"/>
  <c r="G16" i="32" s="1"/>
  <c r="G14" i="32"/>
  <c r="G13" i="32"/>
  <c r="G12" i="32"/>
  <c r="G11" i="32"/>
  <c r="G10" i="32"/>
  <c r="G6" i="32"/>
  <c r="G5" i="32"/>
  <c r="G4" i="32"/>
  <c r="G1" i="32"/>
  <c r="G7" i="49" l="1"/>
  <c r="G9" i="49" s="1"/>
  <c r="N3" i="49"/>
  <c r="B29" i="49"/>
  <c r="G3" i="47"/>
  <c r="G3" i="45"/>
  <c r="G3" i="42"/>
  <c r="G3" i="44"/>
  <c r="G3" i="41"/>
  <c r="G3" i="37"/>
  <c r="AI3" i="37" s="1"/>
  <c r="AI12" i="37" s="1"/>
  <c r="G3" i="34"/>
  <c r="B29" i="34" s="1"/>
  <c r="B31" i="34" s="1"/>
  <c r="P5" i="12"/>
  <c r="L26" i="12"/>
  <c r="S5" i="12"/>
  <c r="F3" i="32"/>
  <c r="G5" i="34" s="1"/>
  <c r="F3" i="21"/>
  <c r="F3" i="12"/>
  <c r="G41" i="32"/>
  <c r="F41" i="12"/>
  <c r="F41" i="2"/>
  <c r="G43" i="32"/>
  <c r="F43" i="2"/>
  <c r="G39" i="32"/>
  <c r="F39" i="2"/>
  <c r="F39" i="12"/>
  <c r="G38" i="32"/>
  <c r="F38" i="2"/>
  <c r="F38" i="12"/>
  <c r="G21" i="32"/>
  <c r="G22" i="32" s="1"/>
  <c r="G24" i="32"/>
  <c r="G27" i="32" s="1"/>
  <c r="G12" i="51" s="1"/>
  <c r="G11" i="49" l="1"/>
  <c r="G11" i="51"/>
  <c r="AI7" i="37"/>
  <c r="AI9" i="37" s="1"/>
  <c r="G12" i="49"/>
  <c r="G13" i="49" s="1"/>
  <c r="G12" i="47"/>
  <c r="I29" i="49"/>
  <c r="I38" i="49" s="1"/>
  <c r="B30" i="49"/>
  <c r="I30" i="49" s="1"/>
  <c r="W38" i="49"/>
  <c r="B31" i="49"/>
  <c r="I31" i="49" s="1"/>
  <c r="B28" i="49"/>
  <c r="U5" i="12"/>
  <c r="G8" i="42"/>
  <c r="G10" i="42" s="1"/>
  <c r="B28" i="42"/>
  <c r="G7" i="45"/>
  <c r="G9" i="45" s="1"/>
  <c r="B29" i="45"/>
  <c r="B27" i="34"/>
  <c r="B28" i="34"/>
  <c r="B30" i="34"/>
  <c r="G7" i="41"/>
  <c r="G9" i="41" s="1"/>
  <c r="B27" i="41"/>
  <c r="B29" i="47"/>
  <c r="G38" i="47" s="1"/>
  <c r="G7" i="47"/>
  <c r="G9" i="47" s="1"/>
  <c r="S26" i="12"/>
  <c r="P26" i="12"/>
  <c r="B29" i="37"/>
  <c r="AD29" i="37" s="1"/>
  <c r="G7" i="37"/>
  <c r="G9" i="37" s="1"/>
  <c r="B28" i="44"/>
  <c r="G8" i="44"/>
  <c r="G10" i="44" s="1"/>
  <c r="G31" i="32"/>
  <c r="G11" i="47"/>
  <c r="G13" i="47" s="1"/>
  <c r="B38" i="34"/>
  <c r="G12" i="45"/>
  <c r="G13" i="44"/>
  <c r="G13" i="42"/>
  <c r="G12" i="41"/>
  <c r="G12" i="37"/>
  <c r="G12" i="34"/>
  <c r="G11" i="45"/>
  <c r="G12" i="44"/>
  <c r="G12" i="42"/>
  <c r="G11" i="41"/>
  <c r="E26" i="34"/>
  <c r="N5" i="34"/>
  <c r="G11" i="37"/>
  <c r="AI11" i="37" s="1"/>
  <c r="AI13" i="37" s="1"/>
  <c r="G11" i="34"/>
  <c r="G3" i="32"/>
  <c r="G7" i="32" s="1"/>
  <c r="G7" i="34" s="1"/>
  <c r="G9" i="34" s="1"/>
  <c r="G47" i="32"/>
  <c r="N11" i="51" l="1"/>
  <c r="N13" i="51" s="1"/>
  <c r="G13" i="51"/>
  <c r="G17" i="37"/>
  <c r="G17" i="51"/>
  <c r="G17" i="49"/>
  <c r="G30" i="49" s="1"/>
  <c r="G17" i="47"/>
  <c r="AD38" i="37"/>
  <c r="AI15" i="37"/>
  <c r="AI21" i="37"/>
  <c r="G28" i="49"/>
  <c r="E30" i="49"/>
  <c r="C29" i="49"/>
  <c r="F30" i="49"/>
  <c r="F29" i="49"/>
  <c r="G29" i="49"/>
  <c r="D30" i="49"/>
  <c r="G21" i="49"/>
  <c r="G15" i="49"/>
  <c r="F28" i="49"/>
  <c r="G13" i="34"/>
  <c r="G13" i="37"/>
  <c r="G14" i="42"/>
  <c r="G14" i="44"/>
  <c r="G13" i="41"/>
  <c r="G15" i="41" s="1"/>
  <c r="G13" i="45"/>
  <c r="F29" i="45" s="1"/>
  <c r="D31" i="49"/>
  <c r="C30" i="49"/>
  <c r="C31" i="49"/>
  <c r="G31" i="49"/>
  <c r="I28" i="49"/>
  <c r="I37" i="49" s="1"/>
  <c r="G40" i="47"/>
  <c r="G37" i="47"/>
  <c r="G36" i="47" s="1"/>
  <c r="G39" i="47"/>
  <c r="B47" i="47"/>
  <c r="B28" i="47"/>
  <c r="I28" i="47" s="1"/>
  <c r="G15" i="47"/>
  <c r="G19" i="47" s="1"/>
  <c r="B27" i="37"/>
  <c r="AD27" i="37" s="1"/>
  <c r="B28" i="37"/>
  <c r="AD28" i="37" s="1"/>
  <c r="B38" i="37"/>
  <c r="B30" i="37"/>
  <c r="AD30" i="37" s="1"/>
  <c r="B31" i="37"/>
  <c r="AD31" i="37" s="1"/>
  <c r="B28" i="45"/>
  <c r="B27" i="45"/>
  <c r="B38" i="45"/>
  <c r="B30" i="45"/>
  <c r="B31" i="45"/>
  <c r="U26" i="12"/>
  <c r="G22" i="47"/>
  <c r="G21" i="47"/>
  <c r="B27" i="42"/>
  <c r="B48" i="42"/>
  <c r="B26" i="42"/>
  <c r="B30" i="42"/>
  <c r="B29" i="42"/>
  <c r="B30" i="47"/>
  <c r="W38" i="47"/>
  <c r="B31" i="47"/>
  <c r="D29" i="47"/>
  <c r="D47" i="47" s="1"/>
  <c r="C29" i="47"/>
  <c r="C47" i="47" s="1"/>
  <c r="F29" i="47"/>
  <c r="F47" i="47" s="1"/>
  <c r="G29" i="47"/>
  <c r="G47" i="47" s="1"/>
  <c r="E29" i="47"/>
  <c r="B36" i="34"/>
  <c r="B37" i="34"/>
  <c r="B40" i="34"/>
  <c r="B47" i="34"/>
  <c r="B39" i="34"/>
  <c r="B25" i="41"/>
  <c r="B26" i="41"/>
  <c r="E26" i="41" s="1"/>
  <c r="B29" i="41"/>
  <c r="C29" i="41" s="1"/>
  <c r="B28" i="41"/>
  <c r="D28" i="41" s="1"/>
  <c r="B36" i="41"/>
  <c r="B52" i="44"/>
  <c r="B30" i="44"/>
  <c r="B26" i="44"/>
  <c r="B27" i="44"/>
  <c r="B29" i="44"/>
  <c r="G17" i="45"/>
  <c r="G18" i="44"/>
  <c r="G18" i="42"/>
  <c r="G17" i="41"/>
  <c r="E28" i="44"/>
  <c r="D28" i="44"/>
  <c r="F28" i="44"/>
  <c r="L26" i="34"/>
  <c r="L35" i="34" s="1"/>
  <c r="L44" i="34" s="1"/>
  <c r="U5" i="34"/>
  <c r="S26" i="34" s="1"/>
  <c r="S35" i="34" s="1"/>
  <c r="S44" i="34" s="1"/>
  <c r="G26" i="34"/>
  <c r="F26" i="34"/>
  <c r="D26" i="34"/>
  <c r="C26" i="34"/>
  <c r="AI17" i="37"/>
  <c r="AI22" i="37" s="1"/>
  <c r="G17" i="34"/>
  <c r="G33" i="32"/>
  <c r="E35" i="34"/>
  <c r="D35" i="34" s="1"/>
  <c r="G49" i="32"/>
  <c r="F34" i="32"/>
  <c r="C28" i="44" l="1"/>
  <c r="D29" i="49"/>
  <c r="E29" i="49"/>
  <c r="E28" i="49"/>
  <c r="D28" i="49"/>
  <c r="G22" i="49"/>
  <c r="E31" i="49"/>
  <c r="F31" i="49"/>
  <c r="C28" i="49"/>
  <c r="E27" i="41"/>
  <c r="D27" i="41"/>
  <c r="C27" i="41"/>
  <c r="C29" i="45"/>
  <c r="G29" i="45"/>
  <c r="G22" i="45"/>
  <c r="G15" i="45"/>
  <c r="G19" i="45" s="1"/>
  <c r="E29" i="45"/>
  <c r="G21" i="45"/>
  <c r="D29" i="45"/>
  <c r="G28" i="44"/>
  <c r="G16" i="44"/>
  <c r="G20" i="44" s="1"/>
  <c r="G52" i="44"/>
  <c r="G15" i="51"/>
  <c r="G21" i="51"/>
  <c r="E36" i="41"/>
  <c r="N21" i="51"/>
  <c r="N15" i="51"/>
  <c r="G29" i="44"/>
  <c r="E27" i="44"/>
  <c r="D26" i="44"/>
  <c r="F30" i="44"/>
  <c r="G27" i="41"/>
  <c r="C25" i="41"/>
  <c r="G19" i="41"/>
  <c r="D28" i="42"/>
  <c r="E38" i="34"/>
  <c r="G31" i="45"/>
  <c r="D30" i="45"/>
  <c r="D38" i="45"/>
  <c r="E27" i="45"/>
  <c r="N17" i="51"/>
  <c r="H38" i="51"/>
  <c r="D36" i="51"/>
  <c r="D42" i="51" s="1"/>
  <c r="H36" i="51"/>
  <c r="G38" i="51"/>
  <c r="C36" i="51"/>
  <c r="J38" i="51"/>
  <c r="F38" i="51"/>
  <c r="I36" i="51"/>
  <c r="F36" i="51"/>
  <c r="E38" i="51"/>
  <c r="M38" i="51"/>
  <c r="G36" i="51"/>
  <c r="D38" i="51"/>
  <c r="C38" i="51"/>
  <c r="N36" i="51"/>
  <c r="K36" i="51"/>
  <c r="K42" i="51" s="1"/>
  <c r="I38" i="51"/>
  <c r="I44" i="51" s="1"/>
  <c r="M36" i="51"/>
  <c r="M42" i="51" s="1"/>
  <c r="L38" i="51"/>
  <c r="L36" i="51"/>
  <c r="N38" i="51"/>
  <c r="J36" i="51"/>
  <c r="E36" i="51"/>
  <c r="K38" i="51"/>
  <c r="E29" i="51"/>
  <c r="D29" i="51"/>
  <c r="H37" i="51"/>
  <c r="D27" i="51"/>
  <c r="C30" i="51"/>
  <c r="G37" i="51"/>
  <c r="G43" i="51" s="1"/>
  <c r="D30" i="51"/>
  <c r="C28" i="51"/>
  <c r="G27" i="51"/>
  <c r="E37" i="51"/>
  <c r="E43" i="51" s="1"/>
  <c r="G31" i="51"/>
  <c r="F30" i="51"/>
  <c r="E30" i="51"/>
  <c r="C37" i="51"/>
  <c r="D37" i="51"/>
  <c r="D28" i="51"/>
  <c r="C31" i="51"/>
  <c r="G30" i="51"/>
  <c r="G28" i="51"/>
  <c r="M37" i="51"/>
  <c r="F28" i="51"/>
  <c r="F27" i="51"/>
  <c r="C29" i="51"/>
  <c r="D31" i="51"/>
  <c r="G29" i="51"/>
  <c r="F37" i="51"/>
  <c r="F43" i="51" s="1"/>
  <c r="C27" i="51"/>
  <c r="E31" i="51"/>
  <c r="J37" i="51"/>
  <c r="E28" i="51"/>
  <c r="N37" i="51"/>
  <c r="F29" i="51"/>
  <c r="K37" i="51"/>
  <c r="E27" i="51"/>
  <c r="G22" i="51"/>
  <c r="L37" i="51"/>
  <c r="I37" i="51"/>
  <c r="F31" i="51"/>
  <c r="G19" i="51"/>
  <c r="G28" i="45"/>
  <c r="G19" i="49"/>
  <c r="C27" i="45"/>
  <c r="AH29" i="37"/>
  <c r="AI29" i="37"/>
  <c r="AF29" i="37"/>
  <c r="AE29" i="37"/>
  <c r="AG29" i="37"/>
  <c r="AF28" i="37"/>
  <c r="AH28" i="37"/>
  <c r="AE28" i="37"/>
  <c r="AI28" i="37"/>
  <c r="AG28" i="37"/>
  <c r="AI27" i="37"/>
  <c r="AH27" i="37"/>
  <c r="AG27" i="37"/>
  <c r="AF27" i="37"/>
  <c r="AE27" i="37"/>
  <c r="AF30" i="37"/>
  <c r="AE30" i="37"/>
  <c r="AI30" i="37"/>
  <c r="AH30" i="37"/>
  <c r="AG30" i="37"/>
  <c r="AI38" i="37"/>
  <c r="AH38" i="37"/>
  <c r="AE38" i="37"/>
  <c r="AD47" i="37"/>
  <c r="AF38" i="37"/>
  <c r="AG38" i="37"/>
  <c r="AD40" i="37"/>
  <c r="AD39" i="37"/>
  <c r="AD37" i="37"/>
  <c r="AD36" i="37"/>
  <c r="AF31" i="37"/>
  <c r="AE31" i="37"/>
  <c r="AI31" i="37"/>
  <c r="AH31" i="37"/>
  <c r="AG31" i="37"/>
  <c r="AI19" i="37"/>
  <c r="D28" i="45"/>
  <c r="F30" i="45"/>
  <c r="G15" i="37"/>
  <c r="G19" i="37" s="1"/>
  <c r="G21" i="37"/>
  <c r="F27" i="45"/>
  <c r="D27" i="45"/>
  <c r="C38" i="45"/>
  <c r="E30" i="45"/>
  <c r="G38" i="45"/>
  <c r="F38" i="45"/>
  <c r="C28" i="45"/>
  <c r="F27" i="44"/>
  <c r="G27" i="45"/>
  <c r="G30" i="45"/>
  <c r="E37" i="34"/>
  <c r="E36" i="34"/>
  <c r="E28" i="42"/>
  <c r="C28" i="42"/>
  <c r="G28" i="42"/>
  <c r="G16" i="42"/>
  <c r="G20" i="42" s="1"/>
  <c r="G29" i="42"/>
  <c r="F30" i="42"/>
  <c r="G26" i="42"/>
  <c r="G48" i="42"/>
  <c r="F28" i="42"/>
  <c r="D27" i="42"/>
  <c r="F28" i="45"/>
  <c r="C36" i="41"/>
  <c r="F31" i="45"/>
  <c r="E28" i="45"/>
  <c r="D29" i="44"/>
  <c r="D31" i="45"/>
  <c r="C31" i="45"/>
  <c r="C30" i="45"/>
  <c r="E30" i="44"/>
  <c r="G15" i="34"/>
  <c r="G19" i="34" s="1"/>
  <c r="G21" i="34"/>
  <c r="G38" i="34"/>
  <c r="E39" i="34"/>
  <c r="E31" i="34"/>
  <c r="E47" i="34"/>
  <c r="E40" i="34"/>
  <c r="E31" i="45"/>
  <c r="E29" i="44"/>
  <c r="C30" i="44"/>
  <c r="E38" i="45"/>
  <c r="G27" i="44"/>
  <c r="F48" i="42"/>
  <c r="C27" i="44"/>
  <c r="C28" i="41"/>
  <c r="E52" i="44"/>
  <c r="F28" i="41"/>
  <c r="E28" i="41"/>
  <c r="G29" i="41"/>
  <c r="F29" i="41"/>
  <c r="D52" i="44"/>
  <c r="E29" i="41"/>
  <c r="I27" i="49"/>
  <c r="I36" i="49" s="1"/>
  <c r="W36" i="49"/>
  <c r="G27" i="49"/>
  <c r="F27" i="49"/>
  <c r="C27" i="49"/>
  <c r="E27" i="49"/>
  <c r="D27" i="49"/>
  <c r="B48" i="47"/>
  <c r="I30" i="47"/>
  <c r="P28" i="49"/>
  <c r="P28" i="47"/>
  <c r="B49" i="47"/>
  <c r="I31" i="47"/>
  <c r="C37" i="34"/>
  <c r="F47" i="34"/>
  <c r="D27" i="44"/>
  <c r="F26" i="44"/>
  <c r="F29" i="44"/>
  <c r="C26" i="44"/>
  <c r="C29" i="44"/>
  <c r="G26" i="44"/>
  <c r="C52" i="44"/>
  <c r="G30" i="44"/>
  <c r="D30" i="44"/>
  <c r="E26" i="44"/>
  <c r="F52" i="44"/>
  <c r="B27" i="47"/>
  <c r="W36" i="47" s="1"/>
  <c r="B46" i="47"/>
  <c r="E25" i="41"/>
  <c r="G26" i="41"/>
  <c r="E30" i="42"/>
  <c r="C29" i="42"/>
  <c r="F26" i="42"/>
  <c r="E47" i="47"/>
  <c r="F29" i="42"/>
  <c r="C26" i="41"/>
  <c r="D26" i="42"/>
  <c r="F26" i="41"/>
  <c r="E48" i="42"/>
  <c r="F36" i="34"/>
  <c r="F39" i="34"/>
  <c r="G25" i="41"/>
  <c r="C26" i="42"/>
  <c r="G27" i="42"/>
  <c r="G30" i="42"/>
  <c r="C30" i="42"/>
  <c r="D29" i="42"/>
  <c r="D30" i="42"/>
  <c r="D25" i="41"/>
  <c r="E26" i="42"/>
  <c r="B45" i="34"/>
  <c r="E45" i="34" s="1"/>
  <c r="B46" i="34"/>
  <c r="E46" i="34" s="1"/>
  <c r="B48" i="34"/>
  <c r="E48" i="34" s="1"/>
  <c r="B49" i="34"/>
  <c r="E49" i="34" s="1"/>
  <c r="B47" i="42"/>
  <c r="B46" i="42"/>
  <c r="B49" i="42"/>
  <c r="B57" i="42"/>
  <c r="B50" i="42"/>
  <c r="D48" i="42"/>
  <c r="B37" i="45"/>
  <c r="B40" i="45"/>
  <c r="B36" i="45"/>
  <c r="B39" i="45"/>
  <c r="B47" i="45"/>
  <c r="C48" i="42"/>
  <c r="C27" i="42"/>
  <c r="B61" i="44"/>
  <c r="B51" i="44"/>
  <c r="B53" i="44"/>
  <c r="B50" i="44"/>
  <c r="B54" i="44"/>
  <c r="W40" i="47"/>
  <c r="C31" i="47"/>
  <c r="C49" i="47" s="1"/>
  <c r="F31" i="47"/>
  <c r="F49" i="47" s="1"/>
  <c r="E31" i="47"/>
  <c r="E49" i="47" s="1"/>
  <c r="G31" i="47"/>
  <c r="G49" i="47" s="1"/>
  <c r="D31" i="47"/>
  <c r="D49" i="47" s="1"/>
  <c r="B38" i="41"/>
  <c r="C38" i="41" s="1"/>
  <c r="B35" i="41"/>
  <c r="B45" i="41"/>
  <c r="D45" i="41" s="1"/>
  <c r="B34" i="41"/>
  <c r="F34" i="41" s="1"/>
  <c r="B37" i="41"/>
  <c r="E29" i="42"/>
  <c r="F27" i="42"/>
  <c r="W37" i="47"/>
  <c r="G28" i="47"/>
  <c r="G46" i="47" s="1"/>
  <c r="F28" i="47"/>
  <c r="F46" i="47" s="1"/>
  <c r="E28" i="47"/>
  <c r="D28" i="47"/>
  <c r="D46" i="47" s="1"/>
  <c r="C28" i="47"/>
  <c r="C46" i="47" s="1"/>
  <c r="B37" i="37"/>
  <c r="B39" i="37"/>
  <c r="B40" i="37"/>
  <c r="B47" i="37"/>
  <c r="B36" i="37"/>
  <c r="E27" i="42"/>
  <c r="W39" i="47"/>
  <c r="D30" i="47"/>
  <c r="D48" i="47" s="1"/>
  <c r="E30" i="47"/>
  <c r="E48" i="47" s="1"/>
  <c r="G30" i="47"/>
  <c r="G48" i="47" s="1"/>
  <c r="F30" i="47"/>
  <c r="F48" i="47" s="1"/>
  <c r="C30" i="47"/>
  <c r="C48" i="47" s="1"/>
  <c r="G28" i="41"/>
  <c r="D36" i="41"/>
  <c r="F27" i="41"/>
  <c r="F25" i="41"/>
  <c r="F36" i="41"/>
  <c r="D26" i="41"/>
  <c r="G36" i="41"/>
  <c r="D29" i="41"/>
  <c r="F40" i="34"/>
  <c r="F38" i="34"/>
  <c r="F37" i="34"/>
  <c r="F31" i="34"/>
  <c r="U26" i="34"/>
  <c r="R26" i="34"/>
  <c r="T26" i="34"/>
  <c r="Q26" i="34"/>
  <c r="K26" i="34"/>
  <c r="M26" i="34"/>
  <c r="N26" i="34"/>
  <c r="J26" i="34"/>
  <c r="G22" i="34"/>
  <c r="E27" i="34"/>
  <c r="E29" i="34"/>
  <c r="D29" i="34"/>
  <c r="E28" i="34"/>
  <c r="G30" i="34"/>
  <c r="G27" i="34"/>
  <c r="C28" i="34"/>
  <c r="C27" i="34"/>
  <c r="G29" i="34"/>
  <c r="G28" i="34"/>
  <c r="C29" i="34"/>
  <c r="F28" i="34"/>
  <c r="F27" i="34"/>
  <c r="F29" i="34"/>
  <c r="D27" i="34"/>
  <c r="D30" i="34"/>
  <c r="E30" i="34"/>
  <c r="C30" i="34"/>
  <c r="F30" i="34"/>
  <c r="D28" i="34"/>
  <c r="G22" i="37"/>
  <c r="E29" i="37"/>
  <c r="D38" i="37"/>
  <c r="G29" i="37"/>
  <c r="G30" i="37"/>
  <c r="G27" i="37"/>
  <c r="E31" i="37"/>
  <c r="D30" i="37"/>
  <c r="F27" i="37"/>
  <c r="E30" i="37"/>
  <c r="D31" i="37"/>
  <c r="G28" i="37"/>
  <c r="G38" i="37"/>
  <c r="D28" i="37"/>
  <c r="E38" i="37"/>
  <c r="F29" i="37"/>
  <c r="C27" i="37"/>
  <c r="D29" i="37"/>
  <c r="E28" i="37"/>
  <c r="F38" i="37"/>
  <c r="F28" i="37"/>
  <c r="E27" i="37"/>
  <c r="F30" i="37"/>
  <c r="G31" i="37"/>
  <c r="F31" i="37"/>
  <c r="C30" i="37"/>
  <c r="D27" i="37"/>
  <c r="C31" i="37"/>
  <c r="C28" i="37"/>
  <c r="C29" i="37"/>
  <c r="C38" i="37"/>
  <c r="C36" i="34"/>
  <c r="C40" i="34"/>
  <c r="C47" i="34"/>
  <c r="C39" i="34"/>
  <c r="D39" i="34"/>
  <c r="D38" i="34"/>
  <c r="D47" i="34"/>
  <c r="C38" i="34"/>
  <c r="D40" i="34"/>
  <c r="D36" i="34"/>
  <c r="D45" i="34"/>
  <c r="D37" i="34"/>
  <c r="F35" i="34"/>
  <c r="E44" i="34"/>
  <c r="D44" i="34" s="1"/>
  <c r="G35" i="34"/>
  <c r="D48" i="34"/>
  <c r="C31" i="34"/>
  <c r="C35" i="34"/>
  <c r="D31" i="34"/>
  <c r="G36" i="34"/>
  <c r="G40" i="34"/>
  <c r="G37" i="34"/>
  <c r="G47" i="34"/>
  <c r="G39" i="34"/>
  <c r="G31" i="34"/>
  <c r="G45" i="34"/>
  <c r="N44" i="34"/>
  <c r="M44" i="34"/>
  <c r="K44" i="34"/>
  <c r="J44" i="34"/>
  <c r="U44" i="34"/>
  <c r="T44" i="34"/>
  <c r="R44" i="34"/>
  <c r="Q44" i="34"/>
  <c r="Q35" i="34"/>
  <c r="T35" i="34"/>
  <c r="U35" i="34"/>
  <c r="R35" i="34"/>
  <c r="M35" i="34"/>
  <c r="J35" i="34"/>
  <c r="K35" i="34"/>
  <c r="N35" i="34"/>
  <c r="F52" i="32"/>
  <c r="G51" i="32"/>
  <c r="H44" i="51" l="1"/>
  <c r="N42" i="51"/>
  <c r="C44" i="51"/>
  <c r="I43" i="51"/>
  <c r="L43" i="51"/>
  <c r="C43" i="51"/>
  <c r="J42" i="51"/>
  <c r="J44" i="51"/>
  <c r="J43" i="51"/>
  <c r="N44" i="51"/>
  <c r="C42" i="51"/>
  <c r="L42" i="51"/>
  <c r="G44" i="51"/>
  <c r="L44" i="51"/>
  <c r="H42" i="51"/>
  <c r="N30" i="51"/>
  <c r="M30" i="51"/>
  <c r="L30" i="51"/>
  <c r="K30" i="51"/>
  <c r="J30" i="51"/>
  <c r="N28" i="51"/>
  <c r="J31" i="51"/>
  <c r="M28" i="51"/>
  <c r="L28" i="51"/>
  <c r="K28" i="51"/>
  <c r="K27" i="51"/>
  <c r="J28" i="51"/>
  <c r="N27" i="51"/>
  <c r="N31" i="51"/>
  <c r="M27" i="51"/>
  <c r="M31" i="51"/>
  <c r="L27" i="51"/>
  <c r="L31" i="51"/>
  <c r="K31" i="51"/>
  <c r="J27" i="51"/>
  <c r="L29" i="51"/>
  <c r="M29" i="51"/>
  <c r="J29" i="51"/>
  <c r="N29" i="51"/>
  <c r="K29" i="51"/>
  <c r="N22" i="51"/>
  <c r="N19" i="51"/>
  <c r="D44" i="51"/>
  <c r="M43" i="51"/>
  <c r="G42" i="51"/>
  <c r="H43" i="51"/>
  <c r="M44" i="51"/>
  <c r="E44" i="51"/>
  <c r="K43" i="51"/>
  <c r="F42" i="51"/>
  <c r="K44" i="51"/>
  <c r="I42" i="51"/>
  <c r="N43" i="51"/>
  <c r="D43" i="51"/>
  <c r="E42" i="51"/>
  <c r="F44" i="51"/>
  <c r="F45" i="34"/>
  <c r="AG36" i="37"/>
  <c r="AF36" i="37"/>
  <c r="AE36" i="37"/>
  <c r="AI36" i="37"/>
  <c r="AH36" i="37"/>
  <c r="F48" i="34"/>
  <c r="AI37" i="37"/>
  <c r="AH37" i="37"/>
  <c r="AG37" i="37"/>
  <c r="AF37" i="37"/>
  <c r="AE37" i="37"/>
  <c r="AI39" i="37"/>
  <c r="AH39" i="37"/>
  <c r="AF39" i="37"/>
  <c r="AE39" i="37"/>
  <c r="AG39" i="37"/>
  <c r="AH40" i="37"/>
  <c r="AG40" i="37"/>
  <c r="AF40" i="37"/>
  <c r="AE40" i="37"/>
  <c r="AI40" i="37"/>
  <c r="AD46" i="37"/>
  <c r="AF47" i="37"/>
  <c r="AD49" i="37"/>
  <c r="AG47" i="37"/>
  <c r="AE47" i="37"/>
  <c r="AI47" i="37"/>
  <c r="AH47" i="37"/>
  <c r="AD45" i="37"/>
  <c r="AD48" i="37"/>
  <c r="E36" i="37"/>
  <c r="D47" i="37"/>
  <c r="G40" i="37"/>
  <c r="G39" i="37"/>
  <c r="E37" i="37"/>
  <c r="C48" i="34"/>
  <c r="G48" i="34"/>
  <c r="F47" i="37"/>
  <c r="E40" i="37"/>
  <c r="C40" i="37"/>
  <c r="C27" i="47"/>
  <c r="C45" i="47" s="1"/>
  <c r="C46" i="34"/>
  <c r="G46" i="34"/>
  <c r="F46" i="34"/>
  <c r="D49" i="34"/>
  <c r="C49" i="34"/>
  <c r="G36" i="37"/>
  <c r="G49" i="34"/>
  <c r="C47" i="37"/>
  <c r="F39" i="37"/>
  <c r="C45" i="34"/>
  <c r="F49" i="34"/>
  <c r="P31" i="49"/>
  <c r="P31" i="47"/>
  <c r="B45" i="47"/>
  <c r="I27" i="47"/>
  <c r="G27" i="47"/>
  <c r="G45" i="47" s="1"/>
  <c r="F27" i="47"/>
  <c r="F45" i="47" s="1"/>
  <c r="E27" i="47"/>
  <c r="E45" i="47" s="1"/>
  <c r="P30" i="49"/>
  <c r="P30" i="47"/>
  <c r="D27" i="47"/>
  <c r="D45" i="47" s="1"/>
  <c r="D36" i="37"/>
  <c r="F36" i="37"/>
  <c r="C36" i="37"/>
  <c r="F40" i="37"/>
  <c r="G47" i="37"/>
  <c r="E46" i="47"/>
  <c r="D46" i="34"/>
  <c r="F37" i="37"/>
  <c r="D37" i="37"/>
  <c r="E39" i="37"/>
  <c r="E47" i="37"/>
  <c r="D40" i="37"/>
  <c r="D39" i="37"/>
  <c r="C39" i="37"/>
  <c r="G37" i="37"/>
  <c r="C37" i="37"/>
  <c r="D50" i="44"/>
  <c r="C50" i="44"/>
  <c r="E50" i="44"/>
  <c r="F50" i="44"/>
  <c r="G50" i="44"/>
  <c r="D53" i="44"/>
  <c r="G53" i="44"/>
  <c r="F53" i="44"/>
  <c r="E53" i="44"/>
  <c r="C53" i="44"/>
  <c r="E51" i="44"/>
  <c r="G51" i="44"/>
  <c r="C51" i="44"/>
  <c r="F51" i="44"/>
  <c r="D51" i="44"/>
  <c r="B59" i="44"/>
  <c r="B63" i="44"/>
  <c r="B60" i="44"/>
  <c r="B62" i="44"/>
  <c r="D61" i="44"/>
  <c r="G61" i="44"/>
  <c r="E61" i="44"/>
  <c r="C61" i="44"/>
  <c r="F61" i="44"/>
  <c r="G37" i="41"/>
  <c r="F37" i="41"/>
  <c r="C37" i="41"/>
  <c r="D37" i="41"/>
  <c r="E37" i="41"/>
  <c r="B49" i="45"/>
  <c r="B45" i="45"/>
  <c r="B48" i="45"/>
  <c r="B46" i="45"/>
  <c r="C47" i="45"/>
  <c r="G47" i="45"/>
  <c r="D47" i="45"/>
  <c r="F47" i="45"/>
  <c r="E47" i="45"/>
  <c r="C34" i="41"/>
  <c r="G34" i="41"/>
  <c r="E34" i="41"/>
  <c r="D34" i="41"/>
  <c r="C39" i="45"/>
  <c r="D39" i="45"/>
  <c r="E39" i="45"/>
  <c r="F39" i="45"/>
  <c r="G39" i="45"/>
  <c r="B47" i="41"/>
  <c r="B46" i="41"/>
  <c r="B43" i="41"/>
  <c r="B44" i="41"/>
  <c r="G45" i="41"/>
  <c r="E45" i="41"/>
  <c r="C45" i="41"/>
  <c r="F45" i="41"/>
  <c r="C36" i="45"/>
  <c r="G36" i="45"/>
  <c r="D36" i="45"/>
  <c r="E36" i="45"/>
  <c r="F36" i="45"/>
  <c r="G50" i="42"/>
  <c r="C50" i="42"/>
  <c r="F50" i="42"/>
  <c r="D50" i="42"/>
  <c r="E50" i="42"/>
  <c r="C35" i="41"/>
  <c r="E35" i="41"/>
  <c r="D35" i="41"/>
  <c r="F35" i="41"/>
  <c r="G35" i="41"/>
  <c r="G40" i="45"/>
  <c r="C40" i="45"/>
  <c r="D40" i="45"/>
  <c r="E40" i="45"/>
  <c r="F40" i="45"/>
  <c r="B59" i="42"/>
  <c r="B58" i="42"/>
  <c r="B55" i="42"/>
  <c r="B56" i="42"/>
  <c r="D57" i="42"/>
  <c r="F57" i="42"/>
  <c r="E57" i="42"/>
  <c r="C57" i="42"/>
  <c r="G57" i="42"/>
  <c r="D38" i="41"/>
  <c r="G38" i="41"/>
  <c r="F38" i="41"/>
  <c r="E38" i="41"/>
  <c r="C37" i="45"/>
  <c r="F37" i="45"/>
  <c r="E37" i="45"/>
  <c r="D37" i="45"/>
  <c r="G37" i="45"/>
  <c r="F49" i="42"/>
  <c r="D49" i="42"/>
  <c r="C49" i="42"/>
  <c r="E49" i="42"/>
  <c r="G49" i="42"/>
  <c r="B49" i="37"/>
  <c r="B48" i="37"/>
  <c r="C45" i="37"/>
  <c r="C46" i="42"/>
  <c r="E46" i="42"/>
  <c r="F46" i="42"/>
  <c r="D46" i="42"/>
  <c r="G46" i="42"/>
  <c r="E47" i="42"/>
  <c r="D47" i="42"/>
  <c r="F47" i="42"/>
  <c r="G47" i="42"/>
  <c r="C47" i="42"/>
  <c r="D54" i="44"/>
  <c r="F54" i="44"/>
  <c r="G54" i="44"/>
  <c r="C54" i="44"/>
  <c r="E54" i="44"/>
  <c r="G44" i="34"/>
  <c r="C44" i="34"/>
  <c r="F44" i="34"/>
  <c r="AI48" i="37" l="1"/>
  <c r="AH48" i="37"/>
  <c r="AE48" i="37"/>
  <c r="AG48" i="37"/>
  <c r="AF48" i="37"/>
  <c r="AH45" i="37"/>
  <c r="AI45" i="37"/>
  <c r="AG45" i="37"/>
  <c r="AF45" i="37"/>
  <c r="AE45" i="37"/>
  <c r="AI49" i="37"/>
  <c r="AG49" i="37"/>
  <c r="AF49" i="37"/>
  <c r="AH49" i="37"/>
  <c r="AE49" i="37"/>
  <c r="AI46" i="37"/>
  <c r="AH46" i="37"/>
  <c r="AF46" i="37"/>
  <c r="AG46" i="37"/>
  <c r="AE46" i="37"/>
  <c r="P27" i="47"/>
  <c r="D56" i="42"/>
  <c r="C56" i="42"/>
  <c r="G56" i="42"/>
  <c r="F56" i="42"/>
  <c r="E56" i="42"/>
  <c r="F55" i="42"/>
  <c r="G55" i="42"/>
  <c r="E55" i="42"/>
  <c r="C55" i="42"/>
  <c r="D55" i="42"/>
  <c r="F58" i="42"/>
  <c r="E58" i="42"/>
  <c r="C58" i="42"/>
  <c r="D58" i="42"/>
  <c r="G58" i="42"/>
  <c r="D46" i="45"/>
  <c r="G46" i="45"/>
  <c r="F46" i="45"/>
  <c r="E46" i="45"/>
  <c r="C46" i="45"/>
  <c r="E59" i="42"/>
  <c r="G59" i="42"/>
  <c r="C59" i="42"/>
  <c r="F59" i="42"/>
  <c r="D59" i="42"/>
  <c r="F48" i="45"/>
  <c r="G48" i="45"/>
  <c r="D48" i="45"/>
  <c r="C48" i="45"/>
  <c r="E48" i="45"/>
  <c r="C62" i="44"/>
  <c r="D62" i="44"/>
  <c r="E62" i="44"/>
  <c r="F62" i="44"/>
  <c r="G62" i="44"/>
  <c r="F45" i="45"/>
  <c r="G45" i="45"/>
  <c r="C45" i="45"/>
  <c r="E45" i="45"/>
  <c r="D45" i="45"/>
  <c r="G60" i="44"/>
  <c r="E60" i="44"/>
  <c r="D60" i="44"/>
  <c r="F60" i="44"/>
  <c r="C60" i="44"/>
  <c r="F49" i="45"/>
  <c r="E49" i="45"/>
  <c r="G49" i="45"/>
  <c r="D49" i="45"/>
  <c r="C49" i="45"/>
  <c r="G63" i="44"/>
  <c r="F63" i="44"/>
  <c r="D63" i="44"/>
  <c r="E63" i="44"/>
  <c r="C63" i="44"/>
  <c r="G59" i="44"/>
  <c r="E59" i="44"/>
  <c r="F59" i="44"/>
  <c r="C59" i="44"/>
  <c r="D59" i="44"/>
  <c r="D46" i="37"/>
  <c r="G46" i="37"/>
  <c r="F46" i="37"/>
  <c r="E46" i="37"/>
  <c r="C46" i="37"/>
  <c r="D45" i="37"/>
  <c r="G45" i="37"/>
  <c r="F45" i="37"/>
  <c r="E45" i="37"/>
  <c r="G44" i="41"/>
  <c r="E44" i="41"/>
  <c r="C44" i="41"/>
  <c r="F44" i="41"/>
  <c r="D44" i="41"/>
  <c r="E48" i="37"/>
  <c r="D48" i="37"/>
  <c r="G48" i="37"/>
  <c r="F48" i="37"/>
  <c r="C48" i="37"/>
  <c r="E43" i="41"/>
  <c r="D43" i="41"/>
  <c r="F43" i="41"/>
  <c r="G43" i="41"/>
  <c r="C43" i="41"/>
  <c r="E49" i="37"/>
  <c r="G49" i="37"/>
  <c r="C49" i="37"/>
  <c r="D49" i="37"/>
  <c r="F49" i="37"/>
  <c r="E46" i="41"/>
  <c r="C46" i="41"/>
  <c r="F46" i="41"/>
  <c r="G46" i="41"/>
  <c r="D46" i="41"/>
  <c r="D47" i="41"/>
  <c r="F47" i="41"/>
  <c r="E47" i="41"/>
  <c r="G47" i="41"/>
  <c r="C47" i="41"/>
  <c r="J5" i="2"/>
  <c r="J5" i="12" s="1"/>
  <c r="J5" i="5" s="1"/>
  <c r="M5" i="5" s="1"/>
  <c r="J4" i="2"/>
  <c r="J4" i="12" s="1"/>
  <c r="P27" i="49" l="1"/>
  <c r="P36" i="49" s="1"/>
  <c r="J4" i="5"/>
  <c r="J4" i="21" s="1"/>
  <c r="J15" i="12"/>
  <c r="J4" i="40"/>
  <c r="J5" i="21"/>
  <c r="J16" i="12"/>
  <c r="J5" i="40"/>
  <c r="G6" i="12"/>
  <c r="G1" i="5"/>
  <c r="N4" i="2"/>
  <c r="F3" i="5"/>
  <c r="D3" i="5"/>
  <c r="F3" i="2"/>
  <c r="F17" i="21"/>
  <c r="G17" i="21" s="1"/>
  <c r="G11" i="21"/>
  <c r="G29" i="21"/>
  <c r="G26" i="21"/>
  <c r="G20" i="21"/>
  <c r="G19" i="21"/>
  <c r="G18" i="21"/>
  <c r="G15" i="21"/>
  <c r="F16" i="21" s="1"/>
  <c r="G16" i="21" s="1"/>
  <c r="G14" i="21"/>
  <c r="G13" i="21"/>
  <c r="G12" i="21"/>
  <c r="G10" i="21"/>
  <c r="G6" i="21"/>
  <c r="G5" i="21"/>
  <c r="D3" i="12"/>
  <c r="G3" i="5" l="1"/>
  <c r="U3" i="47"/>
  <c r="U3" i="45"/>
  <c r="U3" i="42"/>
  <c r="U3" i="44"/>
  <c r="U3" i="41"/>
  <c r="U3" i="37"/>
  <c r="U3" i="34"/>
  <c r="P29" i="34" s="1"/>
  <c r="P31" i="34" s="1"/>
  <c r="Q5" i="40"/>
  <c r="M5" i="40"/>
  <c r="J26" i="12"/>
  <c r="M26" i="12" s="1"/>
  <c r="O26" i="12" s="1"/>
  <c r="M16" i="12"/>
  <c r="O16" i="12" s="1"/>
  <c r="M4" i="40"/>
  <c r="D4" i="40" s="1"/>
  <c r="Q4" i="40"/>
  <c r="J25" i="12"/>
  <c r="N5" i="2"/>
  <c r="F4" i="2"/>
  <c r="N4" i="12"/>
  <c r="G21" i="21"/>
  <c r="G22" i="21" s="1"/>
  <c r="G24" i="21"/>
  <c r="P28" i="42" l="1"/>
  <c r="Q6" i="40"/>
  <c r="Q7" i="40" s="1"/>
  <c r="P29" i="45"/>
  <c r="D5" i="40"/>
  <c r="AP4" i="45"/>
  <c r="AP4" i="41"/>
  <c r="AK27" i="41" s="1"/>
  <c r="AW4" i="37"/>
  <c r="AP4" i="34"/>
  <c r="P27" i="41"/>
  <c r="N4" i="40"/>
  <c r="N4" i="35"/>
  <c r="N4" i="36"/>
  <c r="F4" i="36" s="1"/>
  <c r="P29" i="37"/>
  <c r="P28" i="44"/>
  <c r="P28" i="34"/>
  <c r="P30" i="34"/>
  <c r="P27" i="34"/>
  <c r="P38" i="34"/>
  <c r="N4" i="5"/>
  <c r="F4" i="12"/>
  <c r="G27" i="21"/>
  <c r="G31" i="21" s="1"/>
  <c r="AK26" i="41" l="1"/>
  <c r="AK36" i="41"/>
  <c r="AK28" i="41"/>
  <c r="AK25" i="41"/>
  <c r="P27" i="45"/>
  <c r="P30" i="45"/>
  <c r="P38" i="45"/>
  <c r="P28" i="45"/>
  <c r="P31" i="45"/>
  <c r="P36" i="41"/>
  <c r="P26" i="41"/>
  <c r="P29" i="41"/>
  <c r="P25" i="41"/>
  <c r="P28" i="41"/>
  <c r="AK29" i="45"/>
  <c r="AP22" i="45"/>
  <c r="AP21" i="45"/>
  <c r="O4" i="35"/>
  <c r="F4" i="35"/>
  <c r="G4" i="35" s="1"/>
  <c r="G7" i="35" s="1"/>
  <c r="P27" i="44"/>
  <c r="W27" i="44" s="1"/>
  <c r="AD27" i="44" s="1"/>
  <c r="P29" i="44"/>
  <c r="P30" i="44"/>
  <c r="P52" i="44"/>
  <c r="W28" i="44"/>
  <c r="P26" i="44"/>
  <c r="W26" i="44" s="1"/>
  <c r="AD26" i="44" s="1"/>
  <c r="P38" i="37"/>
  <c r="P31" i="37"/>
  <c r="P30" i="37"/>
  <c r="P28" i="37"/>
  <c r="P27" i="37"/>
  <c r="F4" i="40"/>
  <c r="G4" i="40" s="1"/>
  <c r="O4" i="40"/>
  <c r="N5" i="40"/>
  <c r="P47" i="34"/>
  <c r="P39" i="34"/>
  <c r="P40" i="34"/>
  <c r="P37" i="34"/>
  <c r="P36" i="34"/>
  <c r="AK29" i="34"/>
  <c r="AP21" i="34"/>
  <c r="AP22" i="34"/>
  <c r="P26" i="42"/>
  <c r="W26" i="42" s="1"/>
  <c r="AD26" i="42" s="1"/>
  <c r="W28" i="42"/>
  <c r="P48" i="42"/>
  <c r="P27" i="42"/>
  <c r="W27" i="42" s="1"/>
  <c r="AD27" i="42" s="1"/>
  <c r="P29" i="42"/>
  <c r="P30" i="42"/>
  <c r="AR29" i="37"/>
  <c r="AW22" i="37"/>
  <c r="AW21" i="37"/>
  <c r="N4" i="21"/>
  <c r="F4" i="5"/>
  <c r="AK30" i="34" l="1"/>
  <c r="AK38" i="34"/>
  <c r="AK27" i="34"/>
  <c r="AK28" i="34"/>
  <c r="AP29" i="34"/>
  <c r="AL29" i="34"/>
  <c r="AO29" i="34"/>
  <c r="AN29" i="34"/>
  <c r="AM29" i="34"/>
  <c r="W30" i="42"/>
  <c r="AD28" i="42"/>
  <c r="W29" i="42"/>
  <c r="AD29" i="42" s="1"/>
  <c r="W48" i="42"/>
  <c r="G51" i="35"/>
  <c r="F43" i="36" s="1"/>
  <c r="G43" i="36" s="1"/>
  <c r="G47" i="36" s="1"/>
  <c r="AP17" i="37" s="1"/>
  <c r="G33" i="35"/>
  <c r="F5" i="40"/>
  <c r="G5" i="40" s="1"/>
  <c r="G7" i="40" s="1"/>
  <c r="O5" i="40"/>
  <c r="P35" i="41"/>
  <c r="P34" i="41"/>
  <c r="P38" i="41"/>
  <c r="P45" i="41"/>
  <c r="P37" i="41"/>
  <c r="P47" i="42"/>
  <c r="P46" i="42"/>
  <c r="P57" i="42"/>
  <c r="P50" i="42"/>
  <c r="P49" i="42"/>
  <c r="P36" i="37"/>
  <c r="P37" i="37"/>
  <c r="P47" i="37"/>
  <c r="P40" i="37"/>
  <c r="P39" i="37"/>
  <c r="AK27" i="45"/>
  <c r="AK30" i="45"/>
  <c r="AK28" i="45"/>
  <c r="AK38" i="45"/>
  <c r="AL29" i="45"/>
  <c r="AM29" i="45"/>
  <c r="AP29" i="45"/>
  <c r="AO29" i="45"/>
  <c r="AN29" i="45"/>
  <c r="P39" i="47"/>
  <c r="P48" i="47" s="1"/>
  <c r="P39" i="45"/>
  <c r="P37" i="45"/>
  <c r="P36" i="45"/>
  <c r="P40" i="45"/>
  <c r="P47" i="45"/>
  <c r="W29" i="44"/>
  <c r="AD29" i="44" s="1"/>
  <c r="W30" i="44"/>
  <c r="W52" i="44"/>
  <c r="AD28" i="44"/>
  <c r="AK29" i="41"/>
  <c r="P46" i="34"/>
  <c r="P49" i="34"/>
  <c r="P48" i="34"/>
  <c r="P45" i="34"/>
  <c r="P36" i="47"/>
  <c r="P45" i="47" s="1"/>
  <c r="P50" i="44"/>
  <c r="P51" i="44"/>
  <c r="P53" i="44"/>
  <c r="P61" i="44"/>
  <c r="P54" i="44"/>
  <c r="AK37" i="41"/>
  <c r="AK38" i="41" s="1"/>
  <c r="AK45" i="41"/>
  <c r="AK34" i="41"/>
  <c r="AK35" i="41"/>
  <c r="P40" i="47"/>
  <c r="P49" i="47" s="1"/>
  <c r="AR38" i="37"/>
  <c r="AR30" i="37"/>
  <c r="AR28" i="37"/>
  <c r="AR27" i="37"/>
  <c r="AU29" i="37"/>
  <c r="AV29" i="37"/>
  <c r="AT29" i="37"/>
  <c r="AW29" i="37"/>
  <c r="AS29" i="37"/>
  <c r="P37" i="47"/>
  <c r="P46" i="47" s="1"/>
  <c r="N5" i="21"/>
  <c r="F4" i="21"/>
  <c r="AD30" i="44" l="1"/>
  <c r="AD52" i="44"/>
  <c r="AK46" i="41"/>
  <c r="AK47" i="41" s="1"/>
  <c r="AK43" i="41"/>
  <c r="AK44" i="41"/>
  <c r="W50" i="44"/>
  <c r="W61" i="44"/>
  <c r="W51" i="44"/>
  <c r="W53" i="44"/>
  <c r="W54" i="44" s="1"/>
  <c r="AI17" i="41"/>
  <c r="AI19" i="41" s="1"/>
  <c r="AP18" i="44"/>
  <c r="AI17" i="34"/>
  <c r="G49" i="36"/>
  <c r="W47" i="42"/>
  <c r="W57" i="42"/>
  <c r="W46" i="42"/>
  <c r="W49" i="42"/>
  <c r="W50" i="42" s="1"/>
  <c r="P48" i="45"/>
  <c r="P46" i="45"/>
  <c r="P49" i="45"/>
  <c r="P45" i="45"/>
  <c r="AD48" i="42"/>
  <c r="AD30" i="42"/>
  <c r="AT28" i="37"/>
  <c r="AW28" i="37"/>
  <c r="AS28" i="37"/>
  <c r="AV28" i="37"/>
  <c r="AU28" i="37"/>
  <c r="AP8" i="45"/>
  <c r="AP9" i="45" s="1"/>
  <c r="AP15" i="45" s="1"/>
  <c r="AP19" i="45" s="1"/>
  <c r="AW8" i="37"/>
  <c r="AW9" i="37" s="1"/>
  <c r="AW15" i="37" s="1"/>
  <c r="AW19" i="37" s="1"/>
  <c r="AP8" i="34"/>
  <c r="AP9" i="34" s="1"/>
  <c r="AP15" i="34" s="1"/>
  <c r="AP19" i="34" s="1"/>
  <c r="G33" i="40"/>
  <c r="G51" i="40"/>
  <c r="AK37" i="45"/>
  <c r="AK36" i="45"/>
  <c r="AK39" i="45"/>
  <c r="AK40" i="45" s="1"/>
  <c r="AK47" i="45"/>
  <c r="P49" i="37"/>
  <c r="P45" i="37"/>
  <c r="P48" i="37"/>
  <c r="P46" i="37"/>
  <c r="AR47" i="37"/>
  <c r="AR39" i="37"/>
  <c r="AR40" i="37" s="1"/>
  <c r="AR37" i="37"/>
  <c r="AR36" i="37"/>
  <c r="AO28" i="45"/>
  <c r="AN28" i="45"/>
  <c r="AM28" i="45"/>
  <c r="AL28" i="45"/>
  <c r="AP28" i="45"/>
  <c r="P60" i="44"/>
  <c r="P63" i="44"/>
  <c r="P62" i="44"/>
  <c r="P59" i="44"/>
  <c r="AK31" i="45"/>
  <c r="AM30" i="45"/>
  <c r="AN30" i="45"/>
  <c r="AP30" i="45"/>
  <c r="AL30" i="45"/>
  <c r="AO30" i="45"/>
  <c r="AO27" i="45"/>
  <c r="AP27" i="45"/>
  <c r="AN27" i="45"/>
  <c r="AL27" i="45"/>
  <c r="AM27" i="45"/>
  <c r="AN28" i="34"/>
  <c r="AM28" i="34"/>
  <c r="AL28" i="34"/>
  <c r="AP28" i="34"/>
  <c r="AO28" i="34"/>
  <c r="P43" i="41"/>
  <c r="P47" i="41"/>
  <c r="P44" i="41"/>
  <c r="P46" i="41"/>
  <c r="AM27" i="34"/>
  <c r="AN27" i="34"/>
  <c r="AL27" i="34"/>
  <c r="AP27" i="34"/>
  <c r="AO27" i="34"/>
  <c r="AS27" i="37"/>
  <c r="AU27" i="37"/>
  <c r="AW27" i="37"/>
  <c r="AT27" i="37"/>
  <c r="AV27" i="37"/>
  <c r="AR31" i="37"/>
  <c r="AT30" i="37"/>
  <c r="AS30" i="37"/>
  <c r="AW30" i="37"/>
  <c r="AU30" i="37"/>
  <c r="AV30" i="37"/>
  <c r="P55" i="42"/>
  <c r="P56" i="42"/>
  <c r="P59" i="42"/>
  <c r="P58" i="42"/>
  <c r="AK39" i="34"/>
  <c r="AK37" i="34"/>
  <c r="AK36" i="34"/>
  <c r="AK47" i="34"/>
  <c r="AP38" i="34"/>
  <c r="AO38" i="34"/>
  <c r="AN38" i="34"/>
  <c r="AM38" i="34"/>
  <c r="AL38" i="34"/>
  <c r="AK31" i="34"/>
  <c r="AP30" i="34"/>
  <c r="AO30" i="34"/>
  <c r="AL30" i="34"/>
  <c r="AN30" i="34"/>
  <c r="AM30" i="34"/>
  <c r="G40" i="21"/>
  <c r="G41" i="21"/>
  <c r="G39" i="21"/>
  <c r="G43" i="21"/>
  <c r="G45" i="21"/>
  <c r="G44" i="21"/>
  <c r="G37" i="21"/>
  <c r="G38" i="21"/>
  <c r="G42" i="21"/>
  <c r="AN47" i="34" l="1"/>
  <c r="AN38" i="45"/>
  <c r="AN47" i="45" s="1"/>
  <c r="AU38" i="37"/>
  <c r="AU47" i="37" s="1"/>
  <c r="AG48" i="42"/>
  <c r="AG57" i="42" s="1"/>
  <c r="AN36" i="41"/>
  <c r="AN45" i="41" s="1"/>
  <c r="AG52" i="44"/>
  <c r="AG61" i="44" s="1"/>
  <c r="AO38" i="45"/>
  <c r="AO47" i="45" s="1"/>
  <c r="AO47" i="34"/>
  <c r="AH48" i="42"/>
  <c r="AH57" i="42" s="1"/>
  <c r="AV38" i="37"/>
  <c r="AV47" i="37" s="1"/>
  <c r="AH52" i="44"/>
  <c r="AH61" i="44" s="1"/>
  <c r="AO36" i="41"/>
  <c r="AO45" i="41" s="1"/>
  <c r="AL38" i="45"/>
  <c r="AL47" i="45" s="1"/>
  <c r="AE48" i="42"/>
  <c r="AE57" i="42" s="1"/>
  <c r="AE52" i="44"/>
  <c r="AE61" i="44" s="1"/>
  <c r="AL47" i="34"/>
  <c r="AS38" i="37"/>
  <c r="AS47" i="37" s="1"/>
  <c r="AL36" i="41"/>
  <c r="AL45" i="41" s="1"/>
  <c r="W59" i="44"/>
  <c r="W60" i="44"/>
  <c r="W62" i="44"/>
  <c r="W63" i="44" s="1"/>
  <c r="AK46" i="45"/>
  <c r="AK45" i="45"/>
  <c r="AK48" i="45"/>
  <c r="AK49" i="45" s="1"/>
  <c r="AK46" i="34"/>
  <c r="AK48" i="34"/>
  <c r="AK49" i="34" s="1"/>
  <c r="AK45" i="34"/>
  <c r="AK40" i="34"/>
  <c r="AM39" i="34"/>
  <c r="AN39" i="34"/>
  <c r="AL39" i="34"/>
  <c r="AP39" i="34"/>
  <c r="AO39" i="34"/>
  <c r="AW31" i="37"/>
  <c r="AT31" i="37"/>
  <c r="AU31" i="37"/>
  <c r="AS31" i="37"/>
  <c r="AV31" i="37"/>
  <c r="AP47" i="34"/>
  <c r="AW38" i="37"/>
  <c r="AW47" i="37" s="1"/>
  <c r="AP36" i="41"/>
  <c r="AP45" i="41" s="1"/>
  <c r="AP38" i="45"/>
  <c r="AP47" i="45" s="1"/>
  <c r="AI48" i="42"/>
  <c r="AI57" i="42" s="1"/>
  <c r="AI52" i="44"/>
  <c r="AI61" i="44" s="1"/>
  <c r="AP37" i="34"/>
  <c r="AL37" i="34"/>
  <c r="AO37" i="34"/>
  <c r="AN37" i="34"/>
  <c r="AM37" i="34"/>
  <c r="AM31" i="34"/>
  <c r="AL31" i="34"/>
  <c r="AP31" i="34"/>
  <c r="AO31" i="34"/>
  <c r="AN31" i="34"/>
  <c r="AN31" i="45"/>
  <c r="AL31" i="45"/>
  <c r="AP31" i="45"/>
  <c r="AO31" i="45"/>
  <c r="AM31" i="45"/>
  <c r="AO36" i="34"/>
  <c r="AL36" i="34"/>
  <c r="AN36" i="34"/>
  <c r="AP36" i="34"/>
  <c r="AM36" i="34"/>
  <c r="AR46" i="37"/>
  <c r="AR48" i="37"/>
  <c r="AR49" i="37" s="1"/>
  <c r="AR45" i="37"/>
  <c r="AD49" i="42"/>
  <c r="AD50" i="42" s="1"/>
  <c r="AD46" i="42"/>
  <c r="AD47" i="42"/>
  <c r="AD57" i="42"/>
  <c r="AD61" i="44"/>
  <c r="AD53" i="44"/>
  <c r="AD54" i="44" s="1"/>
  <c r="AD51" i="44"/>
  <c r="AD50" i="44"/>
  <c r="AM47" i="34"/>
  <c r="AT38" i="37"/>
  <c r="AT47" i="37" s="1"/>
  <c r="AM36" i="41"/>
  <c r="AM45" i="41" s="1"/>
  <c r="AM38" i="45"/>
  <c r="AM47" i="45" s="1"/>
  <c r="AF48" i="42"/>
  <c r="AF57" i="42" s="1"/>
  <c r="AF52" i="44"/>
  <c r="AF61" i="44" s="1"/>
  <c r="W56" i="42"/>
  <c r="W55" i="42"/>
  <c r="W58" i="42"/>
  <c r="W59" i="42" s="1"/>
  <c r="G47" i="21"/>
  <c r="AM37" i="45" l="1"/>
  <c r="AM46" i="45" s="1"/>
  <c r="AF47" i="42"/>
  <c r="AF56" i="42" s="1"/>
  <c r="AF51" i="44"/>
  <c r="AF60" i="44" s="1"/>
  <c r="AM46" i="34"/>
  <c r="AT37" i="37"/>
  <c r="AT46" i="37" s="1"/>
  <c r="AM35" i="41"/>
  <c r="AM44" i="41" s="1"/>
  <c r="AO45" i="34"/>
  <c r="AV36" i="37"/>
  <c r="AV45" i="37" s="1"/>
  <c r="AO34" i="41"/>
  <c r="AO43" i="41" s="1"/>
  <c r="AO36" i="45"/>
  <c r="AO45" i="45" s="1"/>
  <c r="AH50" i="44"/>
  <c r="AH59" i="44" s="1"/>
  <c r="AH46" i="42"/>
  <c r="AH55" i="42" s="1"/>
  <c r="AO46" i="34"/>
  <c r="AO35" i="41"/>
  <c r="AO44" i="41" s="1"/>
  <c r="AV37" i="37"/>
  <c r="AV46" i="37" s="1"/>
  <c r="AO37" i="45"/>
  <c r="AO46" i="45" s="1"/>
  <c r="AH47" i="42"/>
  <c r="AH56" i="42" s="1"/>
  <c r="AH51" i="44"/>
  <c r="AH60" i="44" s="1"/>
  <c r="AL36" i="45"/>
  <c r="AL45" i="45" s="1"/>
  <c r="AE50" i="44"/>
  <c r="AE59" i="44" s="1"/>
  <c r="AL45" i="34"/>
  <c r="AL34" i="41"/>
  <c r="AL43" i="41" s="1"/>
  <c r="AE46" i="42"/>
  <c r="AE55" i="42" s="1"/>
  <c r="AS36" i="37"/>
  <c r="AS45" i="37" s="1"/>
  <c r="AO39" i="45"/>
  <c r="AO48" i="45" s="1"/>
  <c r="AO48" i="34"/>
  <c r="AH53" i="44"/>
  <c r="AH62" i="44" s="1"/>
  <c r="AH49" i="42"/>
  <c r="AH58" i="42" s="1"/>
  <c r="AO37" i="41"/>
  <c r="AO46" i="41" s="1"/>
  <c r="AV39" i="37"/>
  <c r="AV48" i="37" s="1"/>
  <c r="AI47" i="42"/>
  <c r="AI56" i="42" s="1"/>
  <c r="AW37" i="37"/>
  <c r="AW46" i="37" s="1"/>
  <c r="AP46" i="34"/>
  <c r="AP37" i="45"/>
  <c r="AP46" i="45" s="1"/>
  <c r="AI51" i="44"/>
  <c r="AI60" i="44" s="1"/>
  <c r="AP35" i="41"/>
  <c r="AP44" i="41" s="1"/>
  <c r="AP37" i="41"/>
  <c r="AP46" i="41" s="1"/>
  <c r="AP39" i="45"/>
  <c r="AP48" i="45" s="1"/>
  <c r="AW39" i="37"/>
  <c r="AW48" i="37" s="1"/>
  <c r="AI49" i="42"/>
  <c r="AI58" i="42" s="1"/>
  <c r="AP48" i="34"/>
  <c r="AI53" i="44"/>
  <c r="AI62" i="44" s="1"/>
  <c r="AP45" i="34"/>
  <c r="AW36" i="37"/>
  <c r="AW45" i="37" s="1"/>
  <c r="AP34" i="41"/>
  <c r="AP43" i="41" s="1"/>
  <c r="AP36" i="45"/>
  <c r="AP45" i="45" s="1"/>
  <c r="AI46" i="42"/>
  <c r="AI55" i="42" s="1"/>
  <c r="AI50" i="44"/>
  <c r="AI59" i="44" s="1"/>
  <c r="AL48" i="34"/>
  <c r="AS39" i="37"/>
  <c r="AS48" i="37" s="1"/>
  <c r="AL37" i="41"/>
  <c r="AL46" i="41" s="1"/>
  <c r="AL39" i="45"/>
  <c r="AL48" i="45" s="1"/>
  <c r="AE49" i="42"/>
  <c r="AE58" i="42" s="1"/>
  <c r="AE53" i="44"/>
  <c r="AE62" i="44" s="1"/>
  <c r="AN48" i="34"/>
  <c r="AU39" i="37"/>
  <c r="AU48" i="37" s="1"/>
  <c r="AN37" i="41"/>
  <c r="AN46" i="41" s="1"/>
  <c r="AN39" i="45"/>
  <c r="AN48" i="45" s="1"/>
  <c r="AG53" i="44"/>
  <c r="AG62" i="44" s="1"/>
  <c r="AG49" i="42"/>
  <c r="AG58" i="42" s="1"/>
  <c r="AM39" i="45"/>
  <c r="AM48" i="45" s="1"/>
  <c r="AF49" i="42"/>
  <c r="AF58" i="42" s="1"/>
  <c r="AF53" i="44"/>
  <c r="AF62" i="44" s="1"/>
  <c r="AT39" i="37"/>
  <c r="AT48" i="37" s="1"/>
  <c r="AM48" i="34"/>
  <c r="AM37" i="41"/>
  <c r="AM46" i="41" s="1"/>
  <c r="AN46" i="34"/>
  <c r="AN35" i="41"/>
  <c r="AN44" i="41" s="1"/>
  <c r="AN37" i="45"/>
  <c r="AN46" i="45" s="1"/>
  <c r="AG47" i="42"/>
  <c r="AG56" i="42" s="1"/>
  <c r="AU37" i="37"/>
  <c r="AU46" i="37" s="1"/>
  <c r="AG51" i="44"/>
  <c r="AG60" i="44" s="1"/>
  <c r="AO40" i="34"/>
  <c r="AL40" i="34"/>
  <c r="AN40" i="34"/>
  <c r="AM40" i="34"/>
  <c r="AP40" i="34"/>
  <c r="AL46" i="34"/>
  <c r="AS37" i="37"/>
  <c r="AS46" i="37" s="1"/>
  <c r="AE47" i="42"/>
  <c r="AE56" i="42" s="1"/>
  <c r="AE51" i="44"/>
  <c r="AE60" i="44" s="1"/>
  <c r="AL35" i="41"/>
  <c r="AL44" i="41" s="1"/>
  <c r="AL37" i="45"/>
  <c r="AL46" i="45" s="1"/>
  <c r="AM36" i="45"/>
  <c r="AM45" i="45" s="1"/>
  <c r="AM45" i="34"/>
  <c r="AF50" i="44"/>
  <c r="AF59" i="44" s="1"/>
  <c r="AT36" i="37"/>
  <c r="AT45" i="37" s="1"/>
  <c r="AF46" i="42"/>
  <c r="AF55" i="42" s="1"/>
  <c r="AM34" i="41"/>
  <c r="AM43" i="41" s="1"/>
  <c r="AG46" i="42"/>
  <c r="AG55" i="42" s="1"/>
  <c r="AN34" i="41"/>
  <c r="AN43" i="41" s="1"/>
  <c r="AN36" i="45"/>
  <c r="AN45" i="45" s="1"/>
  <c r="AG50" i="44"/>
  <c r="AG59" i="44" s="1"/>
  <c r="AN45" i="34"/>
  <c r="AU36" i="37"/>
  <c r="AU45" i="37" s="1"/>
  <c r="AD62" i="44"/>
  <c r="AD63" i="44" s="1"/>
  <c r="AD59" i="44"/>
  <c r="AD60" i="44"/>
  <c r="AD58" i="42"/>
  <c r="AD59" i="42" s="1"/>
  <c r="AD55" i="42"/>
  <c r="AD56" i="42"/>
  <c r="G49" i="21"/>
  <c r="AP49" i="34" l="1"/>
  <c r="AW40" i="37"/>
  <c r="AW49" i="37" s="1"/>
  <c r="AP38" i="41"/>
  <c r="AP47" i="41" s="1"/>
  <c r="AP40" i="45"/>
  <c r="AP49" i="45" s="1"/>
  <c r="AI54" i="44"/>
  <c r="AI63" i="44" s="1"/>
  <c r="AI50" i="42"/>
  <c r="AI59" i="42" s="1"/>
  <c r="AF50" i="42"/>
  <c r="AF59" i="42" s="1"/>
  <c r="AM40" i="45"/>
  <c r="AM49" i="45" s="1"/>
  <c r="AF54" i="44"/>
  <c r="AF63" i="44" s="1"/>
  <c r="AM49" i="34"/>
  <c r="AM38" i="41"/>
  <c r="AM47" i="41" s="1"/>
  <c r="AT40" i="37"/>
  <c r="AT49" i="37" s="1"/>
  <c r="AG50" i="42"/>
  <c r="AG59" i="42" s="1"/>
  <c r="AN38" i="41"/>
  <c r="AN47" i="41" s="1"/>
  <c r="AU40" i="37"/>
  <c r="AU49" i="37" s="1"/>
  <c r="AN49" i="34"/>
  <c r="AG54" i="44"/>
  <c r="AG63" i="44" s="1"/>
  <c r="AN40" i="45"/>
  <c r="AN49" i="45" s="1"/>
  <c r="AL49" i="34"/>
  <c r="AS40" i="37"/>
  <c r="AS49" i="37" s="1"/>
  <c r="AL38" i="41"/>
  <c r="AL47" i="41" s="1"/>
  <c r="AL40" i="45"/>
  <c r="AL49" i="45" s="1"/>
  <c r="AE50" i="42"/>
  <c r="AE59" i="42" s="1"/>
  <c r="AE54" i="44"/>
  <c r="AE63" i="44" s="1"/>
  <c r="AV40" i="37"/>
  <c r="AV49" i="37" s="1"/>
  <c r="AO38" i="41"/>
  <c r="AO47" i="41" s="1"/>
  <c r="AO40" i="45"/>
  <c r="AO49" i="45" s="1"/>
  <c r="AH50" i="42"/>
  <c r="AH59" i="42" s="1"/>
  <c r="AH54" i="44"/>
  <c r="AH63" i="44" s="1"/>
  <c r="AO49" i="34"/>
  <c r="S4" i="2"/>
  <c r="S5" i="2" l="1"/>
  <c r="L4" i="5" l="1"/>
  <c r="L4" i="21" s="1"/>
  <c r="K4" i="5"/>
  <c r="N5" i="5"/>
  <c r="L4" i="12"/>
  <c r="K4" i="12"/>
  <c r="K15" i="12" s="1"/>
  <c r="K4" i="2"/>
  <c r="L5" i="2"/>
  <c r="L4" i="2"/>
  <c r="N5" i="12"/>
  <c r="F5" i="12" s="1"/>
  <c r="F45" i="12"/>
  <c r="G45" i="12" s="1"/>
  <c r="F44" i="12"/>
  <c r="G44" i="12" s="1"/>
  <c r="F43" i="12"/>
  <c r="G43" i="12" s="1"/>
  <c r="G41" i="12"/>
  <c r="G40" i="12"/>
  <c r="G39" i="12"/>
  <c r="G38" i="12"/>
  <c r="G29" i="12"/>
  <c r="G26" i="12"/>
  <c r="G20" i="12"/>
  <c r="G19" i="12"/>
  <c r="G18" i="12"/>
  <c r="G17" i="12"/>
  <c r="G15" i="12"/>
  <c r="G16" i="12" s="1"/>
  <c r="G14" i="12"/>
  <c r="G13" i="12"/>
  <c r="G12" i="12"/>
  <c r="G11" i="12"/>
  <c r="G10" i="12"/>
  <c r="F44" i="2"/>
  <c r="F45" i="2"/>
  <c r="G11" i="2"/>
  <c r="G42" i="5"/>
  <c r="G37" i="5"/>
  <c r="G17" i="5"/>
  <c r="G45" i="5"/>
  <c r="G44" i="5"/>
  <c r="G43" i="5"/>
  <c r="G41" i="5"/>
  <c r="G40" i="5"/>
  <c r="G39" i="5"/>
  <c r="G38" i="5"/>
  <c r="G29" i="5"/>
  <c r="G26" i="5"/>
  <c r="G24" i="5"/>
  <c r="G27" i="5" s="1"/>
  <c r="G20" i="5"/>
  <c r="G19" i="5"/>
  <c r="G18" i="5"/>
  <c r="G15" i="5"/>
  <c r="G14" i="5"/>
  <c r="G13" i="5"/>
  <c r="G12" i="5"/>
  <c r="G11" i="5"/>
  <c r="G10" i="5"/>
  <c r="G6" i="5"/>
  <c r="Z26" i="47" l="1"/>
  <c r="Y26" i="47" s="1"/>
  <c r="Z26" i="49"/>
  <c r="Z26" i="45"/>
  <c r="Z24" i="41"/>
  <c r="Z26" i="37"/>
  <c r="K25" i="12"/>
  <c r="P4" i="12"/>
  <c r="Q5" i="12" s="1"/>
  <c r="L15" i="12"/>
  <c r="M15" i="12" s="1"/>
  <c r="S4" i="12"/>
  <c r="U4" i="12" s="1"/>
  <c r="L5" i="21"/>
  <c r="S5" i="5"/>
  <c r="G16" i="5"/>
  <c r="G21" i="5" s="1"/>
  <c r="F5" i="5"/>
  <c r="Q4" i="5"/>
  <c r="K4" i="21"/>
  <c r="Q5" i="5"/>
  <c r="K5" i="21"/>
  <c r="G37" i="12"/>
  <c r="G42" i="12"/>
  <c r="G21" i="12"/>
  <c r="G22" i="12" s="1"/>
  <c r="U11" i="49" s="1"/>
  <c r="G47" i="5"/>
  <c r="Z26" i="34" l="1"/>
  <c r="Z35" i="34" s="1"/>
  <c r="Z44" i="34" s="1"/>
  <c r="AN26" i="37"/>
  <c r="Y26" i="49"/>
  <c r="O15" i="12"/>
  <c r="H3" i="12"/>
  <c r="U6" i="49" s="1"/>
  <c r="Q8" i="12"/>
  <c r="AN34" i="44"/>
  <c r="AN49" i="44" s="1"/>
  <c r="Z35" i="45"/>
  <c r="Y26" i="45"/>
  <c r="Y44" i="45" s="1"/>
  <c r="U11" i="47"/>
  <c r="Z35" i="37"/>
  <c r="Z44" i="37" s="1"/>
  <c r="Y26" i="37"/>
  <c r="P15" i="12"/>
  <c r="Q16" i="12" s="1"/>
  <c r="O38" i="12"/>
  <c r="N38" i="12"/>
  <c r="P38" i="12"/>
  <c r="M38" i="12"/>
  <c r="L38" i="12"/>
  <c r="L25" i="12"/>
  <c r="S15" i="12"/>
  <c r="U15" i="12" s="1"/>
  <c r="M25" i="12"/>
  <c r="N36" i="12"/>
  <c r="Y24" i="41"/>
  <c r="M36" i="12" s="1"/>
  <c r="Z33" i="41"/>
  <c r="X24" i="41"/>
  <c r="L36" i="12" s="1"/>
  <c r="AG24" i="41"/>
  <c r="AG33" i="41" s="1"/>
  <c r="U11" i="45"/>
  <c r="U12" i="44"/>
  <c r="U12" i="42"/>
  <c r="U11" i="41"/>
  <c r="AB17" i="34"/>
  <c r="U11" i="37"/>
  <c r="U11" i="34"/>
  <c r="Q6" i="5"/>
  <c r="Q7" i="5" s="1"/>
  <c r="G47" i="12"/>
  <c r="M4" i="5"/>
  <c r="D5" i="5"/>
  <c r="T4" i="2"/>
  <c r="G22" i="5"/>
  <c r="AB11" i="49" s="1"/>
  <c r="AB13" i="49" s="1"/>
  <c r="F34" i="5"/>
  <c r="U17" i="49" l="1"/>
  <c r="U17" i="47"/>
  <c r="Y44" i="37"/>
  <c r="AN35" i="37"/>
  <c r="AB4" i="49"/>
  <c r="W29" i="49" s="1"/>
  <c r="X29" i="49" s="1"/>
  <c r="Y26" i="34"/>
  <c r="AB21" i="49"/>
  <c r="AB22" i="49"/>
  <c r="Y35" i="37"/>
  <c r="X35" i="37"/>
  <c r="Q19" i="12"/>
  <c r="M20" i="12" s="1"/>
  <c r="AI7" i="44"/>
  <c r="AI5" i="44"/>
  <c r="AI12" i="44" s="1"/>
  <c r="AI5" i="42"/>
  <c r="AI12" i="42" s="1"/>
  <c r="AI7" i="42"/>
  <c r="X35" i="45"/>
  <c r="Z44" i="45"/>
  <c r="Y35" i="45"/>
  <c r="AB4" i="47"/>
  <c r="F33" i="14" s="1"/>
  <c r="P25" i="12"/>
  <c r="Q26" i="12" s="1"/>
  <c r="S25" i="12"/>
  <c r="U25" i="12" s="1"/>
  <c r="AN58" i="44"/>
  <c r="AM49" i="44"/>
  <c r="AM58" i="44" s="1"/>
  <c r="AO27" i="41"/>
  <c r="AO28" i="41"/>
  <c r="AO26" i="41"/>
  <c r="AO25" i="41"/>
  <c r="AO29" i="41"/>
  <c r="O25" i="12"/>
  <c r="AL27" i="41"/>
  <c r="AL26" i="41"/>
  <c r="AL28" i="41"/>
  <c r="AL25" i="41"/>
  <c r="AL29" i="41"/>
  <c r="AM27" i="41"/>
  <c r="AM25" i="41"/>
  <c r="AM28" i="41"/>
  <c r="AM26" i="41"/>
  <c r="AM29" i="41"/>
  <c r="U6" i="47"/>
  <c r="U6" i="45"/>
  <c r="U7" i="45" s="1"/>
  <c r="U7" i="44"/>
  <c r="U7" i="42"/>
  <c r="U6" i="41"/>
  <c r="U7" i="41" s="1"/>
  <c r="U6" i="37"/>
  <c r="U7" i="37" s="1"/>
  <c r="U6" i="34"/>
  <c r="G24" i="12"/>
  <c r="U12" i="49" s="1"/>
  <c r="U13" i="49" s="1"/>
  <c r="AG42" i="41"/>
  <c r="AF33" i="41"/>
  <c r="AF42" i="41" s="1"/>
  <c r="AP27" i="41"/>
  <c r="AP26" i="41"/>
  <c r="AP28" i="41"/>
  <c r="AP25" i="41"/>
  <c r="AP29" i="41"/>
  <c r="AB11" i="47"/>
  <c r="AB13" i="47" s="1"/>
  <c r="Y33" i="41"/>
  <c r="AB33" i="41"/>
  <c r="X33" i="41"/>
  <c r="AA33" i="41"/>
  <c r="Z42" i="41"/>
  <c r="AN27" i="41"/>
  <c r="AN28" i="41"/>
  <c r="AN26" i="41"/>
  <c r="AN25" i="41"/>
  <c r="AN29" i="41"/>
  <c r="AB4" i="45"/>
  <c r="W29" i="45" s="1"/>
  <c r="AB4" i="41"/>
  <c r="W27" i="41" s="1"/>
  <c r="AB11" i="45"/>
  <c r="AB13" i="45" s="1"/>
  <c r="AB11" i="41"/>
  <c r="AB13" i="41" s="1"/>
  <c r="U17" i="45"/>
  <c r="U18" i="44"/>
  <c r="U18" i="42"/>
  <c r="U17" i="41"/>
  <c r="P37" i="42"/>
  <c r="AB11" i="37"/>
  <c r="AB13" i="37" s="1"/>
  <c r="AB11" i="34"/>
  <c r="AB13" i="34" s="1"/>
  <c r="K4" i="36"/>
  <c r="AP4" i="37" s="1"/>
  <c r="AB4" i="37"/>
  <c r="AB4" i="34"/>
  <c r="U17" i="37"/>
  <c r="U17" i="34"/>
  <c r="D4" i="5"/>
  <c r="O5" i="5"/>
  <c r="G5" i="5"/>
  <c r="G31" i="5"/>
  <c r="G49" i="5" s="1"/>
  <c r="M5" i="2"/>
  <c r="O5" i="2" s="1"/>
  <c r="Q5" i="2" s="1"/>
  <c r="T5" i="2"/>
  <c r="M5" i="21"/>
  <c r="O5" i="21" s="1"/>
  <c r="M4" i="21"/>
  <c r="O4" i="5"/>
  <c r="M5" i="12"/>
  <c r="D5" i="12" s="1"/>
  <c r="M4" i="12"/>
  <c r="D4" i="12" s="1"/>
  <c r="M4" i="2"/>
  <c r="N4" i="49" s="1"/>
  <c r="F52" i="5"/>
  <c r="AK29" i="37" l="1"/>
  <c r="AP21" i="37"/>
  <c r="AP22" i="37"/>
  <c r="Z29" i="49"/>
  <c r="AA37" i="49" s="1"/>
  <c r="AA29" i="49"/>
  <c r="AM35" i="37"/>
  <c r="AM44" i="37" s="1"/>
  <c r="AN44" i="37"/>
  <c r="Y36" i="49"/>
  <c r="AB37" i="49"/>
  <c r="X36" i="49"/>
  <c r="AA36" i="49"/>
  <c r="AB36" i="49"/>
  <c r="W28" i="49"/>
  <c r="W30" i="49"/>
  <c r="X30" i="49" s="1"/>
  <c r="AB29" i="49"/>
  <c r="W27" i="49"/>
  <c r="Y29" i="49"/>
  <c r="Y35" i="34"/>
  <c r="Y44" i="34" s="1"/>
  <c r="AF26" i="34"/>
  <c r="U4" i="49"/>
  <c r="Z36" i="49"/>
  <c r="Y37" i="49"/>
  <c r="Y38" i="49"/>
  <c r="X37" i="49"/>
  <c r="W47" i="47"/>
  <c r="W29" i="47"/>
  <c r="Y29" i="47" s="1"/>
  <c r="AI6" i="42"/>
  <c r="AI8" i="42"/>
  <c r="U12" i="47"/>
  <c r="U13" i="47" s="1"/>
  <c r="U12" i="45"/>
  <c r="U13" i="45" s="1"/>
  <c r="U13" i="42"/>
  <c r="U14" i="42" s="1"/>
  <c r="U13" i="44"/>
  <c r="U14" i="44" s="1"/>
  <c r="U12" i="41"/>
  <c r="U13" i="41" s="1"/>
  <c r="U12" i="37"/>
  <c r="U13" i="37" s="1"/>
  <c r="U12" i="34"/>
  <c r="U13" i="34" s="1"/>
  <c r="G27" i="12"/>
  <c r="G31" i="12" s="1"/>
  <c r="G49" i="12" s="1"/>
  <c r="AI6" i="44"/>
  <c r="AI8" i="44"/>
  <c r="AB7" i="42"/>
  <c r="AB7" i="44"/>
  <c r="Q29" i="12"/>
  <c r="M28" i="12" s="1"/>
  <c r="U6" i="42"/>
  <c r="U8" i="42"/>
  <c r="AB22" i="47"/>
  <c r="AB21" i="47"/>
  <c r="Y42" i="41"/>
  <c r="X42" i="41"/>
  <c r="AB42" i="41"/>
  <c r="AA42" i="41"/>
  <c r="N4" i="47"/>
  <c r="F31" i="14" s="1"/>
  <c r="N4" i="45"/>
  <c r="D4" i="2"/>
  <c r="N4" i="37"/>
  <c r="N4" i="34"/>
  <c r="U7" i="47"/>
  <c r="AB9" i="44"/>
  <c r="AI9" i="44" s="1"/>
  <c r="U4" i="47"/>
  <c r="F32" i="14" s="1"/>
  <c r="U6" i="44"/>
  <c r="U8" i="44"/>
  <c r="W25" i="41"/>
  <c r="AB25" i="41" s="1"/>
  <c r="W26" i="41"/>
  <c r="AB26" i="41" s="1"/>
  <c r="W36" i="41"/>
  <c r="AA36" i="41" s="1"/>
  <c r="W28" i="41"/>
  <c r="W29" i="41" s="1"/>
  <c r="Y29" i="41" s="1"/>
  <c r="AP4" i="44"/>
  <c r="AK37" i="44" s="1"/>
  <c r="AI4" i="41"/>
  <c r="AD27" i="41" s="1"/>
  <c r="W28" i="45"/>
  <c r="X28" i="45" s="1"/>
  <c r="W27" i="45"/>
  <c r="AA27" i="45" s="1"/>
  <c r="W38" i="45"/>
  <c r="Z38" i="45" s="1"/>
  <c r="W30" i="45"/>
  <c r="W31" i="45" s="1"/>
  <c r="Z31" i="45" s="1"/>
  <c r="P37" i="44"/>
  <c r="U4" i="45"/>
  <c r="U4" i="42"/>
  <c r="U4" i="44"/>
  <c r="U4" i="41"/>
  <c r="X27" i="41"/>
  <c r="AA27" i="41"/>
  <c r="Y27" i="41"/>
  <c r="Z27" i="41"/>
  <c r="AB27" i="41"/>
  <c r="AB29" i="45"/>
  <c r="AA29" i="45"/>
  <c r="AB21" i="45"/>
  <c r="AB22" i="45"/>
  <c r="X29" i="45"/>
  <c r="Y29" i="45"/>
  <c r="Z29" i="45"/>
  <c r="AI18" i="42"/>
  <c r="AI18" i="44"/>
  <c r="P35" i="42"/>
  <c r="P39" i="42"/>
  <c r="W37" i="42"/>
  <c r="P38" i="42"/>
  <c r="P36" i="42"/>
  <c r="W29" i="34"/>
  <c r="W38" i="34" s="1"/>
  <c r="AA38" i="34" s="1"/>
  <c r="AB21" i="34"/>
  <c r="AB22" i="34"/>
  <c r="W29" i="37"/>
  <c r="AB21" i="37"/>
  <c r="AB22" i="37"/>
  <c r="AI4" i="34"/>
  <c r="D4" i="36"/>
  <c r="G4" i="36" s="1"/>
  <c r="AP8" i="37" s="1"/>
  <c r="AP9" i="37" s="1"/>
  <c r="AP15" i="37" s="1"/>
  <c r="AP19" i="37" s="1"/>
  <c r="T4" i="36"/>
  <c r="T6" i="36" s="1"/>
  <c r="T7" i="36" s="1"/>
  <c r="O4" i="36"/>
  <c r="G4" i="5"/>
  <c r="AB8" i="49" s="1"/>
  <c r="AB9" i="49" s="1"/>
  <c r="AB15" i="49" s="1"/>
  <c r="AB19" i="49" s="1"/>
  <c r="D4" i="21"/>
  <c r="O5" i="12"/>
  <c r="O4" i="2"/>
  <c r="O4" i="12"/>
  <c r="O4" i="21"/>
  <c r="G4" i="12"/>
  <c r="AA38" i="49" l="1"/>
  <c r="AB28" i="41"/>
  <c r="AA28" i="41"/>
  <c r="Z28" i="41"/>
  <c r="Z37" i="49"/>
  <c r="AB38" i="49"/>
  <c r="Z38" i="49"/>
  <c r="X38" i="49"/>
  <c r="AK28" i="37"/>
  <c r="AL29" i="37"/>
  <c r="AM29" i="37"/>
  <c r="AK38" i="37"/>
  <c r="AO29" i="37"/>
  <c r="AP29" i="37"/>
  <c r="AK30" i="37"/>
  <c r="AK27" i="37"/>
  <c r="AN29" i="37"/>
  <c r="T37" i="44"/>
  <c r="AB27" i="49"/>
  <c r="X27" i="49"/>
  <c r="Z27" i="49"/>
  <c r="Y27" i="49"/>
  <c r="AA27" i="49"/>
  <c r="W31" i="49"/>
  <c r="AA30" i="49"/>
  <c r="Y30" i="49"/>
  <c r="Z30" i="49"/>
  <c r="AB30" i="49"/>
  <c r="Y28" i="49"/>
  <c r="Z28" i="49"/>
  <c r="AB28" i="49"/>
  <c r="AA28" i="49"/>
  <c r="X28" i="49"/>
  <c r="X29" i="47"/>
  <c r="Z29" i="47"/>
  <c r="Z38" i="47" s="1"/>
  <c r="AA29" i="47"/>
  <c r="AB29" i="47"/>
  <c r="Z25" i="41"/>
  <c r="W30" i="47"/>
  <c r="W31" i="47" s="1"/>
  <c r="AB36" i="41"/>
  <c r="W28" i="47"/>
  <c r="X28" i="47" s="1"/>
  <c r="AA25" i="41"/>
  <c r="Z36" i="41"/>
  <c r="W27" i="47"/>
  <c r="AA27" i="47" s="1"/>
  <c r="R37" i="44"/>
  <c r="Y30" i="45"/>
  <c r="AB29" i="41"/>
  <c r="AB28" i="45"/>
  <c r="AA29" i="41"/>
  <c r="Y27" i="45"/>
  <c r="AB38" i="45"/>
  <c r="Z29" i="41"/>
  <c r="AA38" i="45"/>
  <c r="Z28" i="45"/>
  <c r="Y47" i="47"/>
  <c r="Z47" i="47"/>
  <c r="X47" i="47"/>
  <c r="W48" i="47"/>
  <c r="W45" i="47"/>
  <c r="W46" i="47"/>
  <c r="AA47" i="47"/>
  <c r="AB47" i="47"/>
  <c r="AA26" i="41"/>
  <c r="Y25" i="41"/>
  <c r="X25" i="41"/>
  <c r="U37" i="44"/>
  <c r="Z26" i="41"/>
  <c r="AI10" i="44"/>
  <c r="Q37" i="44"/>
  <c r="AB31" i="45"/>
  <c r="S37" i="44"/>
  <c r="X31" i="45"/>
  <c r="AA31" i="45"/>
  <c r="X26" i="41"/>
  <c r="Y31" i="45"/>
  <c r="AB30" i="45"/>
  <c r="Y26" i="41"/>
  <c r="AB5" i="44"/>
  <c r="AB18" i="44" s="1"/>
  <c r="AB6" i="44"/>
  <c r="AB12" i="44"/>
  <c r="AB8" i="44"/>
  <c r="AB10" i="44" s="1"/>
  <c r="AB5" i="42"/>
  <c r="AB18" i="42" s="1"/>
  <c r="AB6" i="42"/>
  <c r="AB12" i="42"/>
  <c r="AB8" i="42"/>
  <c r="I37" i="42"/>
  <c r="I37" i="44"/>
  <c r="X27" i="45"/>
  <c r="Y28" i="41"/>
  <c r="AB8" i="47"/>
  <c r="AB9" i="47" s="1"/>
  <c r="AB15" i="47" s="1"/>
  <c r="AB19" i="47" s="1"/>
  <c r="Z27" i="45"/>
  <c r="AA28" i="45"/>
  <c r="AB8" i="41"/>
  <c r="AB9" i="41" s="1"/>
  <c r="AB15" i="41" s="1"/>
  <c r="AB19" i="41" s="1"/>
  <c r="AB9" i="42"/>
  <c r="AI9" i="42" s="1"/>
  <c r="AI10" i="42" s="1"/>
  <c r="AB8" i="37"/>
  <c r="AB9" i="37" s="1"/>
  <c r="AB15" i="37" s="1"/>
  <c r="AB19" i="37" s="1"/>
  <c r="AB8" i="45"/>
  <c r="AB9" i="45" s="1"/>
  <c r="AB15" i="45" s="1"/>
  <c r="AB19" i="45" s="1"/>
  <c r="AP9" i="44"/>
  <c r="AP10" i="44" s="1"/>
  <c r="AP16" i="44" s="1"/>
  <c r="AP20" i="44" s="1"/>
  <c r="AB27" i="45"/>
  <c r="X36" i="41"/>
  <c r="X28" i="41"/>
  <c r="AB8" i="34"/>
  <c r="AB9" i="34" s="1"/>
  <c r="AB15" i="34" s="1"/>
  <c r="AB19" i="34" s="1"/>
  <c r="Y28" i="45"/>
  <c r="Y36" i="41"/>
  <c r="X29" i="41"/>
  <c r="G7" i="5"/>
  <c r="G33" i="5" s="1"/>
  <c r="W47" i="45"/>
  <c r="W39" i="45"/>
  <c r="W36" i="45"/>
  <c r="W37" i="45"/>
  <c r="AD26" i="41"/>
  <c r="AD25" i="41"/>
  <c r="AD36" i="41"/>
  <c r="AD28" i="41"/>
  <c r="AG27" i="41"/>
  <c r="AE27" i="41"/>
  <c r="AI27" i="41"/>
  <c r="AH27" i="41"/>
  <c r="AF27" i="41"/>
  <c r="AK52" i="44"/>
  <c r="AK35" i="44"/>
  <c r="AK38" i="44"/>
  <c r="AK36" i="44"/>
  <c r="AO37" i="44"/>
  <c r="AP37" i="44"/>
  <c r="AL37" i="44"/>
  <c r="AN37" i="44"/>
  <c r="AM37" i="44"/>
  <c r="W45" i="41"/>
  <c r="W34" i="41"/>
  <c r="W35" i="41"/>
  <c r="W37" i="41"/>
  <c r="Y38" i="45"/>
  <c r="AA30" i="45"/>
  <c r="X30" i="45"/>
  <c r="X38" i="45"/>
  <c r="Z30" i="45"/>
  <c r="P35" i="44"/>
  <c r="W37" i="44"/>
  <c r="P38" i="44"/>
  <c r="P36" i="44"/>
  <c r="P39" i="44"/>
  <c r="W36" i="42"/>
  <c r="AD36" i="42" s="1"/>
  <c r="W38" i="42"/>
  <c r="AD38" i="42" s="1"/>
  <c r="AD37" i="42"/>
  <c r="AD39" i="42" s="1"/>
  <c r="W39" i="42"/>
  <c r="W35" i="42"/>
  <c r="AD35" i="42" s="1"/>
  <c r="AD29" i="34"/>
  <c r="AI21" i="34"/>
  <c r="AI22" i="34"/>
  <c r="Z29" i="37"/>
  <c r="AB29" i="37"/>
  <c r="AA29" i="37"/>
  <c r="W30" i="37"/>
  <c r="W27" i="37"/>
  <c r="W28" i="37"/>
  <c r="W38" i="37"/>
  <c r="W47" i="37" s="1"/>
  <c r="Y29" i="37"/>
  <c r="X29" i="37"/>
  <c r="AI8" i="34"/>
  <c r="AI9" i="34" s="1"/>
  <c r="AI15" i="34" s="1"/>
  <c r="AI19" i="34" s="1"/>
  <c r="G7" i="36"/>
  <c r="W27" i="34"/>
  <c r="Y29" i="34"/>
  <c r="W30" i="34"/>
  <c r="W31" i="34" s="1"/>
  <c r="W28" i="34"/>
  <c r="Z29" i="34"/>
  <c r="X29" i="34"/>
  <c r="AA29" i="34"/>
  <c r="AB29" i="34"/>
  <c r="G5" i="12"/>
  <c r="U8" i="47" s="1"/>
  <c r="U4" i="37"/>
  <c r="U4" i="34"/>
  <c r="W39" i="34"/>
  <c r="X39" i="34" s="1"/>
  <c r="W36" i="34"/>
  <c r="Y36" i="34" s="1"/>
  <c r="W47" i="34"/>
  <c r="W48" i="34" s="1"/>
  <c r="Z38" i="34"/>
  <c r="X38" i="34"/>
  <c r="W37" i="34"/>
  <c r="Y37" i="34" s="1"/>
  <c r="AB38" i="34"/>
  <c r="Y38" i="34"/>
  <c r="G4" i="21"/>
  <c r="G4" i="2"/>
  <c r="N8" i="49" s="1"/>
  <c r="Q4" i="2"/>
  <c r="X47" i="37" l="1"/>
  <c r="W48" i="37"/>
  <c r="AA47" i="37"/>
  <c r="W46" i="37"/>
  <c r="AB47" i="37"/>
  <c r="W45" i="37"/>
  <c r="Z47" i="37"/>
  <c r="Y47" i="37"/>
  <c r="AB28" i="47"/>
  <c r="AB37" i="47" s="1"/>
  <c r="Y37" i="47"/>
  <c r="Z36" i="47"/>
  <c r="Y36" i="47"/>
  <c r="AA39" i="47"/>
  <c r="X37" i="47"/>
  <c r="AB40" i="47"/>
  <c r="AA37" i="47"/>
  <c r="AB30" i="47"/>
  <c r="Z37" i="47"/>
  <c r="AO27" i="37"/>
  <c r="AM27" i="37"/>
  <c r="AP27" i="37"/>
  <c r="AL27" i="37"/>
  <c r="AN27" i="37"/>
  <c r="X40" i="47"/>
  <c r="AP30" i="37"/>
  <c r="AK31" i="37"/>
  <c r="AM30" i="37"/>
  <c r="AO30" i="37"/>
  <c r="AL30" i="37"/>
  <c r="AN30" i="37"/>
  <c r="Z39" i="47"/>
  <c r="Y39" i="47"/>
  <c r="AB38" i="47"/>
  <c r="AP38" i="37"/>
  <c r="AP47" i="37" s="1"/>
  <c r="AM38" i="37"/>
  <c r="AM47" i="37" s="1"/>
  <c r="AK37" i="37"/>
  <c r="AK39" i="37"/>
  <c r="AL38" i="37"/>
  <c r="AL47" i="37" s="1"/>
  <c r="AO38" i="37"/>
  <c r="AO47" i="37" s="1"/>
  <c r="AK47" i="37"/>
  <c r="AK36" i="37"/>
  <c r="AN38" i="37"/>
  <c r="AN47" i="37" s="1"/>
  <c r="X38" i="47"/>
  <c r="AA38" i="47"/>
  <c r="AP28" i="37"/>
  <c r="AO28" i="37"/>
  <c r="AM28" i="37"/>
  <c r="AL28" i="37"/>
  <c r="AN28" i="37"/>
  <c r="X36" i="47"/>
  <c r="Y30" i="47"/>
  <c r="Z30" i="47"/>
  <c r="AA30" i="47"/>
  <c r="X30" i="47"/>
  <c r="Y38" i="47"/>
  <c r="Y40" i="47"/>
  <c r="AA36" i="47"/>
  <c r="AB39" i="47"/>
  <c r="AA40" i="47"/>
  <c r="X39" i="47"/>
  <c r="Z40" i="47"/>
  <c r="Y27" i="47"/>
  <c r="Z27" i="47"/>
  <c r="AB27" i="47"/>
  <c r="AB36" i="47" s="1"/>
  <c r="Y28" i="47"/>
  <c r="Z28" i="47"/>
  <c r="AA28" i="47"/>
  <c r="X27" i="47"/>
  <c r="Z31" i="49"/>
  <c r="Y31" i="49"/>
  <c r="X31" i="49"/>
  <c r="AA31" i="49"/>
  <c r="AB31" i="49"/>
  <c r="AA37" i="34"/>
  <c r="Z37" i="34"/>
  <c r="U8" i="49"/>
  <c r="X46" i="47"/>
  <c r="Z46" i="47"/>
  <c r="Y46" i="47"/>
  <c r="AA46" i="47"/>
  <c r="AB46" i="47"/>
  <c r="X45" i="47"/>
  <c r="Y45" i="47"/>
  <c r="AA45" i="47"/>
  <c r="Z45" i="47"/>
  <c r="AB45" i="47"/>
  <c r="Y48" i="47"/>
  <c r="Z48" i="47"/>
  <c r="X48" i="47"/>
  <c r="AA48" i="47"/>
  <c r="W49" i="47"/>
  <c r="AB48" i="47"/>
  <c r="G51" i="5"/>
  <c r="AB10" i="42"/>
  <c r="U30" i="47"/>
  <c r="U39" i="47" s="1"/>
  <c r="S27" i="47"/>
  <c r="U31" i="47"/>
  <c r="U40" i="47" s="1"/>
  <c r="T30" i="47"/>
  <c r="T39" i="47" s="1"/>
  <c r="U27" i="47"/>
  <c r="U36" i="47" s="1"/>
  <c r="T31" i="47"/>
  <c r="T40" i="47" s="1"/>
  <c r="S28" i="47"/>
  <c r="R30" i="47"/>
  <c r="R39" i="47" s="1"/>
  <c r="U28" i="47"/>
  <c r="U37" i="47" s="1"/>
  <c r="Q27" i="47"/>
  <c r="Q36" i="47" s="1"/>
  <c r="T27" i="47"/>
  <c r="T36" i="47" s="1"/>
  <c r="R31" i="47"/>
  <c r="R40" i="47" s="1"/>
  <c r="Q30" i="47"/>
  <c r="Q39" i="47" s="1"/>
  <c r="R28" i="47"/>
  <c r="R37" i="47" s="1"/>
  <c r="Q31" i="47"/>
  <c r="Q40" i="47" s="1"/>
  <c r="R27" i="47"/>
  <c r="R36" i="47" s="1"/>
  <c r="S30" i="47"/>
  <c r="S39" i="47" s="1"/>
  <c r="S31" i="47"/>
  <c r="T28" i="47"/>
  <c r="T37" i="47" s="1"/>
  <c r="Q28" i="47"/>
  <c r="Q37" i="47" s="1"/>
  <c r="I38" i="44"/>
  <c r="I35" i="44"/>
  <c r="I39" i="44"/>
  <c r="I36" i="44"/>
  <c r="I38" i="42"/>
  <c r="I36" i="42"/>
  <c r="I35" i="42"/>
  <c r="I39" i="42"/>
  <c r="N8" i="47"/>
  <c r="N8" i="45"/>
  <c r="N8" i="41"/>
  <c r="N9" i="42"/>
  <c r="N9" i="44"/>
  <c r="N8" i="37"/>
  <c r="N8" i="34"/>
  <c r="AA31" i="47"/>
  <c r="X31" i="47"/>
  <c r="AB31" i="47"/>
  <c r="Z31" i="47"/>
  <c r="Y31" i="47"/>
  <c r="U9" i="47"/>
  <c r="U15" i="47" s="1"/>
  <c r="U19" i="47" s="1"/>
  <c r="AL35" i="44"/>
  <c r="AO35" i="44"/>
  <c r="AP35" i="44"/>
  <c r="AN35" i="44"/>
  <c r="AM35" i="44"/>
  <c r="AK51" i="44"/>
  <c r="AK61" i="44"/>
  <c r="AK50" i="44"/>
  <c r="AK53" i="44"/>
  <c r="AP52" i="44"/>
  <c r="AP61" i="44" s="1"/>
  <c r="AM52" i="44"/>
  <c r="AM61" i="44" s="1"/>
  <c r="AL52" i="44"/>
  <c r="AL61" i="44" s="1"/>
  <c r="AO52" i="44"/>
  <c r="AO61" i="44" s="1"/>
  <c r="AN52" i="44"/>
  <c r="AN61" i="44" s="1"/>
  <c r="W38" i="41"/>
  <c r="Y37" i="41"/>
  <c r="AB37" i="41"/>
  <c r="AA37" i="41"/>
  <c r="Z37" i="41"/>
  <c r="X37" i="41"/>
  <c r="X34" i="41"/>
  <c r="Y34" i="41"/>
  <c r="Z34" i="41"/>
  <c r="AA34" i="41"/>
  <c r="AB34" i="41"/>
  <c r="AD29" i="41"/>
  <c r="AE28" i="41"/>
  <c r="AF28" i="41"/>
  <c r="AG28" i="41"/>
  <c r="AH28" i="41"/>
  <c r="AI28" i="41"/>
  <c r="W46" i="41"/>
  <c r="W44" i="41"/>
  <c r="W43" i="41"/>
  <c r="X45" i="41"/>
  <c r="AB45" i="41"/>
  <c r="Y45" i="41"/>
  <c r="Z45" i="41"/>
  <c r="AA45" i="41"/>
  <c r="AD35" i="41"/>
  <c r="AD37" i="41"/>
  <c r="AD45" i="41"/>
  <c r="AD34" i="41"/>
  <c r="AG36" i="41"/>
  <c r="AG45" i="41" s="1"/>
  <c r="AF36" i="41"/>
  <c r="AF45" i="41" s="1"/>
  <c r="AH36" i="41"/>
  <c r="AH45" i="41" s="1"/>
  <c r="AE36" i="41"/>
  <c r="AE45" i="41" s="1"/>
  <c r="AI36" i="41"/>
  <c r="AI45" i="41" s="1"/>
  <c r="AE25" i="41"/>
  <c r="AH25" i="41"/>
  <c r="AG25" i="41"/>
  <c r="AI25" i="41"/>
  <c r="AF25" i="41"/>
  <c r="AE26" i="41"/>
  <c r="AI26" i="41"/>
  <c r="AH26" i="41"/>
  <c r="AG26" i="41"/>
  <c r="AF26" i="41"/>
  <c r="AB37" i="45"/>
  <c r="AA37" i="45"/>
  <c r="X37" i="45"/>
  <c r="Z37" i="45"/>
  <c r="Y37" i="45"/>
  <c r="AK39" i="44"/>
  <c r="AL38" i="44"/>
  <c r="AN38" i="44"/>
  <c r="AP38" i="44"/>
  <c r="AM38" i="44"/>
  <c r="AO38" i="44"/>
  <c r="Z35" i="41"/>
  <c r="X35" i="41"/>
  <c r="AA35" i="41"/>
  <c r="AB35" i="41"/>
  <c r="Y35" i="41"/>
  <c r="AA36" i="45"/>
  <c r="AB36" i="45"/>
  <c r="Y36" i="45"/>
  <c r="X36" i="45"/>
  <c r="Z36" i="45"/>
  <c r="W40" i="45"/>
  <c r="AA39" i="45"/>
  <c r="X39" i="45"/>
  <c r="Z39" i="45"/>
  <c r="Y39" i="45"/>
  <c r="AB39" i="45"/>
  <c r="AM36" i="44"/>
  <c r="AP36" i="44"/>
  <c r="AO36" i="44"/>
  <c r="AL36" i="44"/>
  <c r="AN36" i="44"/>
  <c r="W48" i="45"/>
  <c r="W46" i="45"/>
  <c r="W45" i="45"/>
  <c r="AB47" i="45"/>
  <c r="Y47" i="45"/>
  <c r="AA47" i="45"/>
  <c r="X47" i="45"/>
  <c r="Z47" i="45"/>
  <c r="R39" i="44"/>
  <c r="S39" i="44"/>
  <c r="T39" i="44"/>
  <c r="U39" i="44"/>
  <c r="Q39" i="44"/>
  <c r="U8" i="45"/>
  <c r="U8" i="41"/>
  <c r="U9" i="44"/>
  <c r="U9" i="42"/>
  <c r="I7" i="12"/>
  <c r="W36" i="44"/>
  <c r="S36" i="44"/>
  <c r="Q36" i="44"/>
  <c r="T36" i="44"/>
  <c r="R36" i="44"/>
  <c r="U36" i="44"/>
  <c r="R38" i="44"/>
  <c r="T38" i="44"/>
  <c r="S38" i="44"/>
  <c r="U38" i="44"/>
  <c r="Q38" i="44"/>
  <c r="W39" i="44"/>
  <c r="AD37" i="44"/>
  <c r="AD39" i="44" s="1"/>
  <c r="W38" i="44"/>
  <c r="W35" i="44"/>
  <c r="S35" i="44"/>
  <c r="T35" i="44"/>
  <c r="U35" i="44"/>
  <c r="Q35" i="44"/>
  <c r="R35" i="44"/>
  <c r="Z36" i="34"/>
  <c r="W46" i="34"/>
  <c r="Z46" i="34" s="1"/>
  <c r="Z47" i="34"/>
  <c r="Z30" i="37"/>
  <c r="AB30" i="37"/>
  <c r="Y30" i="37"/>
  <c r="X30" i="37"/>
  <c r="AA30" i="37"/>
  <c r="W31" i="37"/>
  <c r="Z38" i="37"/>
  <c r="Y38" i="37"/>
  <c r="AB38" i="37"/>
  <c r="AA38" i="37"/>
  <c r="W39" i="37"/>
  <c r="W36" i="37"/>
  <c r="X38" i="37"/>
  <c r="W37" i="37"/>
  <c r="Y47" i="34"/>
  <c r="X47" i="34"/>
  <c r="Z39" i="34"/>
  <c r="W40" i="34"/>
  <c r="X40" i="34" s="1"/>
  <c r="Y27" i="34"/>
  <c r="Z27" i="34"/>
  <c r="AA27" i="34"/>
  <c r="X27" i="34"/>
  <c r="AB27" i="34"/>
  <c r="Z28" i="37"/>
  <c r="X28" i="37"/>
  <c r="AB28" i="37"/>
  <c r="AA28" i="37"/>
  <c r="Y28" i="37"/>
  <c r="AB39" i="34"/>
  <c r="Y39" i="34"/>
  <c r="AA47" i="34"/>
  <c r="AB47" i="34"/>
  <c r="AA28" i="34"/>
  <c r="AB28" i="34"/>
  <c r="X28" i="34"/>
  <c r="Z28" i="34"/>
  <c r="Y28" i="34"/>
  <c r="AB36" i="34"/>
  <c r="AA36" i="34"/>
  <c r="G33" i="36"/>
  <c r="G51" i="36"/>
  <c r="Z27" i="37"/>
  <c r="Y27" i="37"/>
  <c r="X27" i="37"/>
  <c r="AA27" i="37"/>
  <c r="AB27" i="37"/>
  <c r="W45" i="34"/>
  <c r="AA45" i="34" s="1"/>
  <c r="AA39" i="34"/>
  <c r="Z30" i="34"/>
  <c r="AA30" i="34"/>
  <c r="Y30" i="34"/>
  <c r="AB30" i="34"/>
  <c r="X30" i="34"/>
  <c r="X36" i="34"/>
  <c r="AD30" i="34"/>
  <c r="AD28" i="34"/>
  <c r="AD27" i="34"/>
  <c r="AD38" i="34"/>
  <c r="AI29" i="34"/>
  <c r="AG29" i="34"/>
  <c r="AF29" i="34"/>
  <c r="AH29" i="34"/>
  <c r="AE29" i="34"/>
  <c r="U8" i="37"/>
  <c r="U8" i="34"/>
  <c r="X37" i="34"/>
  <c r="AB37" i="34"/>
  <c r="Y48" i="34"/>
  <c r="AB48" i="34"/>
  <c r="W49" i="34"/>
  <c r="AA48" i="34"/>
  <c r="Z48" i="34"/>
  <c r="X48" i="34"/>
  <c r="Z31" i="34"/>
  <c r="Y31" i="34"/>
  <c r="AB31" i="34"/>
  <c r="AA31" i="34"/>
  <c r="X31" i="34"/>
  <c r="F34" i="21"/>
  <c r="F52" i="21"/>
  <c r="AA45" i="37" l="1"/>
  <c r="AB45" i="37"/>
  <c r="X45" i="37"/>
  <c r="Z45" i="37"/>
  <c r="Y45" i="37"/>
  <c r="AA46" i="37"/>
  <c r="X46" i="37"/>
  <c r="AB46" i="37"/>
  <c r="Z46" i="37"/>
  <c r="Y46" i="37"/>
  <c r="X48" i="37"/>
  <c r="AA48" i="37"/>
  <c r="AB48" i="37"/>
  <c r="W49" i="37"/>
  <c r="Z48" i="37"/>
  <c r="Y48" i="37"/>
  <c r="AO31" i="37"/>
  <c r="AM31" i="37"/>
  <c r="AL31" i="37"/>
  <c r="AP31" i="37"/>
  <c r="AN31" i="37"/>
  <c r="AL36" i="37"/>
  <c r="AL45" i="37" s="1"/>
  <c r="AM36" i="37"/>
  <c r="AM45" i="37" s="1"/>
  <c r="AP36" i="37"/>
  <c r="AP45" i="37" s="1"/>
  <c r="AO36" i="37"/>
  <c r="AO45" i="37" s="1"/>
  <c r="AN36" i="37"/>
  <c r="AN45" i="37" s="1"/>
  <c r="AK45" i="37"/>
  <c r="AK48" i="37"/>
  <c r="AK49" i="37" s="1"/>
  <c r="AK46" i="37"/>
  <c r="AP39" i="37"/>
  <c r="AP48" i="37" s="1"/>
  <c r="AO39" i="37"/>
  <c r="AO48" i="37" s="1"/>
  <c r="AK40" i="37"/>
  <c r="AM39" i="37"/>
  <c r="AM48" i="37" s="1"/>
  <c r="AL39" i="37"/>
  <c r="AL48" i="37" s="1"/>
  <c r="AN39" i="37"/>
  <c r="AN48" i="37" s="1"/>
  <c r="AL37" i="37"/>
  <c r="AL46" i="37" s="1"/>
  <c r="AP37" i="37"/>
  <c r="AP46" i="37" s="1"/>
  <c r="AO37" i="37"/>
  <c r="AO46" i="37" s="1"/>
  <c r="AM37" i="37"/>
  <c r="AM46" i="37" s="1"/>
  <c r="AN37" i="37"/>
  <c r="AN46" i="37" s="1"/>
  <c r="Y46" i="34"/>
  <c r="AB46" i="34"/>
  <c r="X46" i="34"/>
  <c r="AA46" i="34"/>
  <c r="S30" i="49"/>
  <c r="S31" i="49"/>
  <c r="Q31" i="49"/>
  <c r="T30" i="49"/>
  <c r="U30" i="49"/>
  <c r="R30" i="49"/>
  <c r="U31" i="49"/>
  <c r="R31" i="49"/>
  <c r="Q30" i="49"/>
  <c r="T31" i="49"/>
  <c r="R28" i="49"/>
  <c r="R37" i="49" s="1"/>
  <c r="S28" i="49"/>
  <c r="S37" i="49" s="1"/>
  <c r="U28" i="49"/>
  <c r="U37" i="49" s="1"/>
  <c r="U27" i="49"/>
  <c r="U36" i="49" s="1"/>
  <c r="S27" i="49"/>
  <c r="S36" i="49" s="1"/>
  <c r="Q28" i="49"/>
  <c r="Q37" i="49" s="1"/>
  <c r="R27" i="49"/>
  <c r="R36" i="49" s="1"/>
  <c r="T27" i="49"/>
  <c r="T36" i="49" s="1"/>
  <c r="T28" i="49"/>
  <c r="T37" i="49" s="1"/>
  <c r="Q27" i="49"/>
  <c r="Q36" i="49" s="1"/>
  <c r="S46" i="47"/>
  <c r="Q46" i="47"/>
  <c r="U46" i="47"/>
  <c r="T46" i="47"/>
  <c r="R46" i="47"/>
  <c r="S37" i="47"/>
  <c r="AB49" i="47"/>
  <c r="Y49" i="47"/>
  <c r="AA49" i="47"/>
  <c r="X49" i="47"/>
  <c r="Z49" i="47"/>
  <c r="Q45" i="47"/>
  <c r="S45" i="47"/>
  <c r="T45" i="47"/>
  <c r="R45" i="47"/>
  <c r="U45" i="47"/>
  <c r="S36" i="47"/>
  <c r="S49" i="47"/>
  <c r="S40" i="47"/>
  <c r="Q49" i="47"/>
  <c r="R49" i="47"/>
  <c r="U49" i="47"/>
  <c r="T49" i="47"/>
  <c r="S48" i="47"/>
  <c r="Q48" i="47"/>
  <c r="R48" i="47"/>
  <c r="U48" i="47"/>
  <c r="T48" i="47"/>
  <c r="U22" i="34"/>
  <c r="U21" i="34"/>
  <c r="U22" i="37"/>
  <c r="U21" i="37"/>
  <c r="U22" i="45"/>
  <c r="U21" i="45"/>
  <c r="U21" i="47"/>
  <c r="U22" i="47"/>
  <c r="Z38" i="41"/>
  <c r="Y38" i="41"/>
  <c r="AB38" i="41"/>
  <c r="X38" i="41"/>
  <c r="AA38" i="41"/>
  <c r="Y45" i="45"/>
  <c r="X45" i="45"/>
  <c r="AB45" i="45"/>
  <c r="Z45" i="45"/>
  <c r="AA45" i="45"/>
  <c r="X46" i="45"/>
  <c r="Z46" i="45"/>
  <c r="AB46" i="45"/>
  <c r="Y46" i="45"/>
  <c r="AA46" i="45"/>
  <c r="W49" i="45"/>
  <c r="AB48" i="45"/>
  <c r="Z48" i="45"/>
  <c r="X48" i="45"/>
  <c r="AA48" i="45"/>
  <c r="Y48" i="45"/>
  <c r="AF34" i="41"/>
  <c r="AF43" i="41" s="1"/>
  <c r="AH34" i="41"/>
  <c r="AH43" i="41" s="1"/>
  <c r="AI34" i="41"/>
  <c r="AI43" i="41" s="1"/>
  <c r="AG34" i="41"/>
  <c r="AG43" i="41" s="1"/>
  <c r="AE34" i="41"/>
  <c r="AE43" i="41" s="1"/>
  <c r="Z40" i="45"/>
  <c r="X40" i="45"/>
  <c r="Y40" i="45"/>
  <c r="AA40" i="45"/>
  <c r="AB40" i="45"/>
  <c r="AD46" i="41"/>
  <c r="AD47" i="41" s="1"/>
  <c r="AD43" i="41"/>
  <c r="AD44" i="41"/>
  <c r="AH29" i="41"/>
  <c r="AF29" i="41"/>
  <c r="AG29" i="41"/>
  <c r="AE29" i="41"/>
  <c r="AI29" i="41"/>
  <c r="AD38" i="41"/>
  <c r="AE37" i="41"/>
  <c r="AE46" i="41" s="1"/>
  <c r="AH37" i="41"/>
  <c r="AH46" i="41" s="1"/>
  <c r="AF37" i="41"/>
  <c r="AF46" i="41" s="1"/>
  <c r="AI37" i="41"/>
  <c r="AI46" i="41" s="1"/>
  <c r="AG37" i="41"/>
  <c r="AG46" i="41" s="1"/>
  <c r="AK54" i="44"/>
  <c r="AN53" i="44"/>
  <c r="AN62" i="44" s="1"/>
  <c r="AM53" i="44"/>
  <c r="AM62" i="44" s="1"/>
  <c r="AO53" i="44"/>
  <c r="AO62" i="44" s="1"/>
  <c r="AP53" i="44"/>
  <c r="AP62" i="44" s="1"/>
  <c r="AL53" i="44"/>
  <c r="AL62" i="44" s="1"/>
  <c r="AG35" i="41"/>
  <c r="AG44" i="41" s="1"/>
  <c r="AI35" i="41"/>
  <c r="AI44" i="41" s="1"/>
  <c r="AH35" i="41"/>
  <c r="AH44" i="41" s="1"/>
  <c r="AE35" i="41"/>
  <c r="AE44" i="41" s="1"/>
  <c r="AF35" i="41"/>
  <c r="AF44" i="41" s="1"/>
  <c r="AP50" i="44"/>
  <c r="AP59" i="44" s="1"/>
  <c r="AN50" i="44"/>
  <c r="AN59" i="44" s="1"/>
  <c r="AL50" i="44"/>
  <c r="AL59" i="44" s="1"/>
  <c r="AO50" i="44"/>
  <c r="AO59" i="44" s="1"/>
  <c r="AM50" i="44"/>
  <c r="AM59" i="44" s="1"/>
  <c r="AH38" i="34"/>
  <c r="AH47" i="34" s="1"/>
  <c r="AF38" i="34"/>
  <c r="AF47" i="34" s="1"/>
  <c r="AG38" i="34"/>
  <c r="AG47" i="34" s="1"/>
  <c r="AE38" i="34"/>
  <c r="AE47" i="34" s="1"/>
  <c r="AI38" i="34"/>
  <c r="AI47" i="34" s="1"/>
  <c r="AK62" i="44"/>
  <c r="AK63" i="44" s="1"/>
  <c r="AK60" i="44"/>
  <c r="AK59" i="44"/>
  <c r="AL51" i="44"/>
  <c r="AL60" i="44" s="1"/>
  <c r="AN51" i="44"/>
  <c r="AN60" i="44" s="1"/>
  <c r="AM51" i="44"/>
  <c r="AM60" i="44" s="1"/>
  <c r="AO51" i="44"/>
  <c r="AO60" i="44" s="1"/>
  <c r="AP51" i="44"/>
  <c r="AP60" i="44" s="1"/>
  <c r="AN39" i="44"/>
  <c r="AP39" i="44"/>
  <c r="AO39" i="44"/>
  <c r="AL39" i="44"/>
  <c r="AM39" i="44"/>
  <c r="W47" i="41"/>
  <c r="AB46" i="41"/>
  <c r="X46" i="41"/>
  <c r="Z46" i="41"/>
  <c r="AA46" i="41"/>
  <c r="Y46" i="41"/>
  <c r="Z43" i="41"/>
  <c r="AB43" i="41"/>
  <c r="Y43" i="41"/>
  <c r="X43" i="41"/>
  <c r="AA43" i="41"/>
  <c r="X44" i="41"/>
  <c r="Z44" i="41"/>
  <c r="AB44" i="41"/>
  <c r="Y44" i="41"/>
  <c r="AA44" i="41"/>
  <c r="AD36" i="44"/>
  <c r="U10" i="42"/>
  <c r="U16" i="42" s="1"/>
  <c r="U20" i="42" s="1"/>
  <c r="S49" i="42"/>
  <c r="R27" i="42"/>
  <c r="U56" i="42"/>
  <c r="R50" i="42"/>
  <c r="T27" i="42"/>
  <c r="S29" i="42"/>
  <c r="Q57" i="42"/>
  <c r="U59" i="42"/>
  <c r="Q56" i="42"/>
  <c r="U46" i="42"/>
  <c r="R37" i="42"/>
  <c r="S48" i="42"/>
  <c r="U49" i="42"/>
  <c r="Q50" i="42"/>
  <c r="Q47" i="42"/>
  <c r="R59" i="42"/>
  <c r="Q26" i="42"/>
  <c r="S27" i="42"/>
  <c r="T26" i="42"/>
  <c r="U50" i="42"/>
  <c r="R47" i="42"/>
  <c r="T46" i="42"/>
  <c r="Q37" i="42"/>
  <c r="S37" i="42"/>
  <c r="T59" i="42"/>
  <c r="S30" i="42"/>
  <c r="R26" i="42"/>
  <c r="T58" i="42"/>
  <c r="U27" i="42"/>
  <c r="T55" i="42"/>
  <c r="S47" i="42"/>
  <c r="S28" i="42"/>
  <c r="T49" i="42"/>
  <c r="Q48" i="42"/>
  <c r="Q46" i="42"/>
  <c r="Q58" i="42"/>
  <c r="S56" i="42"/>
  <c r="S26" i="42"/>
  <c r="U48" i="42"/>
  <c r="U29" i="42"/>
  <c r="Q28" i="42"/>
  <c r="R46" i="42"/>
  <c r="S50" i="42"/>
  <c r="T28" i="42"/>
  <c r="R29" i="42"/>
  <c r="R56" i="42"/>
  <c r="U58" i="42"/>
  <c r="S46" i="42"/>
  <c r="U28" i="42"/>
  <c r="R48" i="42"/>
  <c r="Q59" i="42"/>
  <c r="T57" i="42"/>
  <c r="Q55" i="42"/>
  <c r="R55" i="42"/>
  <c r="R28" i="42"/>
  <c r="U55" i="42"/>
  <c r="R30" i="42"/>
  <c r="T37" i="42"/>
  <c r="Q49" i="42"/>
  <c r="U26" i="42"/>
  <c r="S59" i="42"/>
  <c r="T50" i="42"/>
  <c r="U30" i="42"/>
  <c r="S55" i="42"/>
  <c r="T29" i="42"/>
  <c r="Q30" i="42"/>
  <c r="R49" i="42"/>
  <c r="T30" i="42"/>
  <c r="Q29" i="42"/>
  <c r="T56" i="42"/>
  <c r="R58" i="42"/>
  <c r="U57" i="42"/>
  <c r="U47" i="42"/>
  <c r="U37" i="42"/>
  <c r="S57" i="42"/>
  <c r="T48" i="42"/>
  <c r="R57" i="42"/>
  <c r="T47" i="42"/>
  <c r="S58" i="42"/>
  <c r="Q27" i="42"/>
  <c r="Q36" i="42"/>
  <c r="S35" i="42"/>
  <c r="R39" i="42"/>
  <c r="U36" i="42"/>
  <c r="R36" i="42"/>
  <c r="Q35" i="42"/>
  <c r="U38" i="42"/>
  <c r="U35" i="42"/>
  <c r="S36" i="42"/>
  <c r="R35" i="42"/>
  <c r="Q39" i="42"/>
  <c r="T39" i="42"/>
  <c r="Q38" i="42"/>
  <c r="T36" i="42"/>
  <c r="U39" i="42"/>
  <c r="S39" i="42"/>
  <c r="S38" i="42"/>
  <c r="T38" i="42"/>
  <c r="R38" i="42"/>
  <c r="T35" i="42"/>
  <c r="U10" i="44"/>
  <c r="U16" i="44" s="1"/>
  <c r="U20" i="44" s="1"/>
  <c r="U26" i="44"/>
  <c r="U30" i="44"/>
  <c r="U50" i="44"/>
  <c r="S60" i="44"/>
  <c r="S52" i="44"/>
  <c r="Q51" i="44"/>
  <c r="U61" i="44"/>
  <c r="Q60" i="44"/>
  <c r="U29" i="44"/>
  <c r="U27" i="44"/>
  <c r="T61" i="44"/>
  <c r="T54" i="44"/>
  <c r="S62" i="44"/>
  <c r="T27" i="44"/>
  <c r="Q27" i="44"/>
  <c r="Q50" i="44"/>
  <c r="T50" i="44"/>
  <c r="R62" i="44"/>
  <c r="R30" i="44"/>
  <c r="R27" i="44"/>
  <c r="R52" i="44"/>
  <c r="U51" i="44"/>
  <c r="R54" i="44"/>
  <c r="R63" i="44"/>
  <c r="T29" i="44"/>
  <c r="Q28" i="44"/>
  <c r="S53" i="44"/>
  <c r="R50" i="44"/>
  <c r="T62" i="44"/>
  <c r="T51" i="44"/>
  <c r="Q54" i="44"/>
  <c r="R60" i="44"/>
  <c r="U52" i="44"/>
  <c r="Q29" i="44"/>
  <c r="R53" i="44"/>
  <c r="U54" i="44"/>
  <c r="U60" i="44"/>
  <c r="T26" i="44"/>
  <c r="R51" i="44"/>
  <c r="S61" i="44"/>
  <c r="U63" i="44"/>
  <c r="S28" i="44"/>
  <c r="S26" i="44"/>
  <c r="Q26" i="44"/>
  <c r="Q53" i="44"/>
  <c r="R61" i="44"/>
  <c r="T63" i="44"/>
  <c r="R28" i="44"/>
  <c r="T28" i="44"/>
  <c r="S27" i="44"/>
  <c r="U28" i="44"/>
  <c r="Q61" i="44"/>
  <c r="Q59" i="44"/>
  <c r="Q62" i="44"/>
  <c r="Q52" i="44"/>
  <c r="T53" i="44"/>
  <c r="U59" i="44"/>
  <c r="Q63" i="44"/>
  <c r="R26" i="44"/>
  <c r="S30" i="44"/>
  <c r="U53" i="44"/>
  <c r="T59" i="44"/>
  <c r="T60" i="44"/>
  <c r="S54" i="44"/>
  <c r="R29" i="44"/>
  <c r="S29" i="44"/>
  <c r="S50" i="44"/>
  <c r="R59" i="44"/>
  <c r="S59" i="44"/>
  <c r="T52" i="44"/>
  <c r="U62" i="44"/>
  <c r="T30" i="44"/>
  <c r="S51" i="44"/>
  <c r="S63" i="44"/>
  <c r="Q30" i="44"/>
  <c r="U9" i="41"/>
  <c r="U15" i="41" s="1"/>
  <c r="U19" i="41" s="1"/>
  <c r="S35" i="41"/>
  <c r="U26" i="41"/>
  <c r="R44" i="41"/>
  <c r="T27" i="41"/>
  <c r="T43" i="41"/>
  <c r="Q45" i="41"/>
  <c r="T38" i="41"/>
  <c r="S29" i="41"/>
  <c r="Q47" i="41"/>
  <c r="T25" i="41"/>
  <c r="R47" i="41"/>
  <c r="T26" i="41"/>
  <c r="S46" i="41"/>
  <c r="R28" i="41"/>
  <c r="T28" i="41"/>
  <c r="U34" i="41"/>
  <c r="U45" i="41"/>
  <c r="R35" i="41"/>
  <c r="T34" i="41"/>
  <c r="T36" i="41"/>
  <c r="Q38" i="41"/>
  <c r="R34" i="41"/>
  <c r="R26" i="41"/>
  <c r="R38" i="41"/>
  <c r="R45" i="41"/>
  <c r="Q44" i="41"/>
  <c r="U44" i="41"/>
  <c r="T44" i="41"/>
  <c r="U27" i="41"/>
  <c r="R29" i="41"/>
  <c r="U43" i="41"/>
  <c r="S44" i="41"/>
  <c r="Q29" i="41"/>
  <c r="R37" i="41"/>
  <c r="U47" i="41"/>
  <c r="U38" i="41"/>
  <c r="T29" i="41"/>
  <c r="Q37" i="41"/>
  <c r="Q25" i="41"/>
  <c r="T37" i="41"/>
  <c r="Q35" i="41"/>
  <c r="T45" i="41"/>
  <c r="Q43" i="41"/>
  <c r="R27" i="41"/>
  <c r="Q46" i="41"/>
  <c r="Q27" i="41"/>
  <c r="S26" i="41"/>
  <c r="Q34" i="41"/>
  <c r="Q26" i="41"/>
  <c r="U46" i="41"/>
  <c r="R46" i="41"/>
  <c r="Q36" i="41"/>
  <c r="U29" i="41"/>
  <c r="S37" i="41"/>
  <c r="U36" i="41"/>
  <c r="U25" i="41"/>
  <c r="R43" i="41"/>
  <c r="R25" i="41"/>
  <c r="S28" i="41"/>
  <c r="T47" i="41"/>
  <c r="U37" i="41"/>
  <c r="U28" i="41"/>
  <c r="T35" i="41"/>
  <c r="S38" i="41"/>
  <c r="S36" i="41"/>
  <c r="S34" i="41"/>
  <c r="S43" i="41"/>
  <c r="Q28" i="41"/>
  <c r="T46" i="41"/>
  <c r="U35" i="41"/>
  <c r="S27" i="41"/>
  <c r="S47" i="41"/>
  <c r="S45" i="41"/>
  <c r="S25" i="41"/>
  <c r="R36" i="41"/>
  <c r="U9" i="45"/>
  <c r="U15" i="45" s="1"/>
  <c r="U19" i="45" s="1"/>
  <c r="R38" i="45"/>
  <c r="U29" i="45"/>
  <c r="T40" i="45"/>
  <c r="Q45" i="45"/>
  <c r="Q47" i="45"/>
  <c r="R28" i="45"/>
  <c r="T29" i="45"/>
  <c r="R37" i="45"/>
  <c r="T46" i="45"/>
  <c r="T45" i="45"/>
  <c r="S40" i="45"/>
  <c r="S29" i="45"/>
  <c r="U48" i="45"/>
  <c r="T39" i="45"/>
  <c r="U38" i="45"/>
  <c r="T28" i="45"/>
  <c r="U37" i="45"/>
  <c r="U45" i="45"/>
  <c r="R47" i="45"/>
  <c r="U47" i="45"/>
  <c r="U36" i="45"/>
  <c r="R49" i="45"/>
  <c r="T31" i="45"/>
  <c r="R40" i="45"/>
  <c r="U46" i="45"/>
  <c r="R46" i="45"/>
  <c r="U39" i="45"/>
  <c r="Q49" i="45"/>
  <c r="S27" i="45"/>
  <c r="Q28" i="45"/>
  <c r="S39" i="45"/>
  <c r="Q40" i="45"/>
  <c r="R45" i="45"/>
  <c r="R27" i="45"/>
  <c r="R36" i="45"/>
  <c r="S38" i="45"/>
  <c r="S46" i="45"/>
  <c r="Q29" i="45"/>
  <c r="R31" i="45"/>
  <c r="U40" i="45"/>
  <c r="S48" i="45"/>
  <c r="S37" i="45"/>
  <c r="U31" i="45"/>
  <c r="R29" i="45"/>
  <c r="U49" i="45"/>
  <c r="Q27" i="45"/>
  <c r="Q30" i="45"/>
  <c r="Q39" i="45"/>
  <c r="T37" i="45"/>
  <c r="Q48" i="45"/>
  <c r="Q36" i="45"/>
  <c r="S31" i="45"/>
  <c r="T38" i="45"/>
  <c r="S45" i="45"/>
  <c r="S28" i="45"/>
  <c r="S49" i="45"/>
  <c r="U30" i="45"/>
  <c r="Q31" i="45"/>
  <c r="U28" i="45"/>
  <c r="S36" i="45"/>
  <c r="R48" i="45"/>
  <c r="Q38" i="45"/>
  <c r="Q46" i="45"/>
  <c r="S30" i="45"/>
  <c r="R30" i="45"/>
  <c r="S47" i="45"/>
  <c r="T30" i="45"/>
  <c r="Q37" i="45"/>
  <c r="R39" i="45"/>
  <c r="T49" i="45"/>
  <c r="T27" i="45"/>
  <c r="T48" i="45"/>
  <c r="U27" i="45"/>
  <c r="T47" i="45"/>
  <c r="T36" i="45"/>
  <c r="AD38" i="44"/>
  <c r="AD35" i="44"/>
  <c r="Z40" i="34"/>
  <c r="Y37" i="37"/>
  <c r="Z37" i="37"/>
  <c r="AA37" i="37"/>
  <c r="X37" i="37"/>
  <c r="AB37" i="37"/>
  <c r="Y39" i="37"/>
  <c r="AB39" i="37"/>
  <c r="AA39" i="37"/>
  <c r="Z39" i="37"/>
  <c r="W40" i="37"/>
  <c r="X39" i="37"/>
  <c r="Y45" i="34"/>
  <c r="X31" i="37"/>
  <c r="AB31" i="37"/>
  <c r="Z31" i="37"/>
  <c r="AA31" i="37"/>
  <c r="Y31" i="37"/>
  <c r="X36" i="37"/>
  <c r="AB36" i="37"/>
  <c r="AA36" i="37"/>
  <c r="Z36" i="37"/>
  <c r="Y36" i="37"/>
  <c r="AD37" i="34"/>
  <c r="AD39" i="34"/>
  <c r="AD36" i="34"/>
  <c r="AD47" i="34"/>
  <c r="AH28" i="34"/>
  <c r="AE28" i="34"/>
  <c r="AF28" i="34"/>
  <c r="AG28" i="34"/>
  <c r="AI28" i="34"/>
  <c r="Z45" i="34"/>
  <c r="AB45" i="34"/>
  <c r="AG27" i="34"/>
  <c r="AF27" i="34"/>
  <c r="AE27" i="34"/>
  <c r="AH27" i="34"/>
  <c r="AI27" i="34"/>
  <c r="Y40" i="34"/>
  <c r="AD31" i="34"/>
  <c r="AE30" i="34"/>
  <c r="AF30" i="34"/>
  <c r="AG30" i="34"/>
  <c r="AH30" i="34"/>
  <c r="AI30" i="34"/>
  <c r="AB40" i="34"/>
  <c r="X45" i="34"/>
  <c r="AA40" i="34"/>
  <c r="Q30" i="34"/>
  <c r="U28" i="34"/>
  <c r="T29" i="34"/>
  <c r="S30" i="34"/>
  <c r="R28" i="34"/>
  <c r="R30" i="34"/>
  <c r="S29" i="34"/>
  <c r="U27" i="34"/>
  <c r="R29" i="34"/>
  <c r="S28" i="34"/>
  <c r="R27" i="34"/>
  <c r="S27" i="34"/>
  <c r="U30" i="34"/>
  <c r="Q28" i="34"/>
  <c r="Q27" i="34"/>
  <c r="T30" i="34"/>
  <c r="T28" i="34"/>
  <c r="Q29" i="34"/>
  <c r="U29" i="34"/>
  <c r="T27" i="34"/>
  <c r="R48" i="34"/>
  <c r="U47" i="34"/>
  <c r="R38" i="34"/>
  <c r="S49" i="34"/>
  <c r="U40" i="34"/>
  <c r="R47" i="34"/>
  <c r="R31" i="34"/>
  <c r="S38" i="34"/>
  <c r="T39" i="34"/>
  <c r="S39" i="34"/>
  <c r="Q39" i="34"/>
  <c r="R45" i="34"/>
  <c r="Q47" i="34"/>
  <c r="R40" i="34"/>
  <c r="T31" i="34"/>
  <c r="Q31" i="34"/>
  <c r="U31" i="34"/>
  <c r="Q46" i="34"/>
  <c r="T38" i="34"/>
  <c r="S37" i="34"/>
  <c r="U38" i="34"/>
  <c r="U49" i="34"/>
  <c r="Q40" i="34"/>
  <c r="T37" i="34"/>
  <c r="T45" i="34"/>
  <c r="R49" i="34"/>
  <c r="T47" i="34"/>
  <c r="Q49" i="34"/>
  <c r="Q38" i="34"/>
  <c r="U37" i="34"/>
  <c r="S31" i="34"/>
  <c r="S36" i="34"/>
  <c r="S45" i="34"/>
  <c r="Q36" i="34"/>
  <c r="U48" i="34"/>
  <c r="R39" i="34"/>
  <c r="S48" i="34"/>
  <c r="T49" i="34"/>
  <c r="R36" i="34"/>
  <c r="T40" i="34"/>
  <c r="T36" i="34"/>
  <c r="Q45" i="34"/>
  <c r="U46" i="34"/>
  <c r="Q48" i="34"/>
  <c r="U39" i="34"/>
  <c r="T48" i="34"/>
  <c r="Q37" i="34"/>
  <c r="S40" i="34"/>
  <c r="S47" i="34"/>
  <c r="U45" i="34"/>
  <c r="T46" i="34"/>
  <c r="S46" i="34"/>
  <c r="U36" i="34"/>
  <c r="R46" i="34"/>
  <c r="R37" i="34"/>
  <c r="U9" i="37"/>
  <c r="U15" i="37" s="1"/>
  <c r="U19" i="37" s="1"/>
  <c r="S49" i="37"/>
  <c r="Q45" i="37"/>
  <c r="S46" i="37"/>
  <c r="U37" i="37"/>
  <c r="R46" i="37"/>
  <c r="Q37" i="37"/>
  <c r="U46" i="37"/>
  <c r="Q46" i="37"/>
  <c r="T28" i="37"/>
  <c r="R29" i="37"/>
  <c r="U45" i="37"/>
  <c r="T39" i="37"/>
  <c r="T47" i="37"/>
  <c r="R37" i="37"/>
  <c r="T40" i="37"/>
  <c r="S37" i="37"/>
  <c r="T27" i="37"/>
  <c r="R40" i="37"/>
  <c r="Q31" i="37"/>
  <c r="R38" i="37"/>
  <c r="R49" i="37"/>
  <c r="S39" i="37"/>
  <c r="S45" i="37"/>
  <c r="U27" i="37"/>
  <c r="S28" i="37"/>
  <c r="Q39" i="37"/>
  <c r="U31" i="37"/>
  <c r="R30" i="37"/>
  <c r="U40" i="37"/>
  <c r="R36" i="37"/>
  <c r="S47" i="37"/>
  <c r="T36" i="37"/>
  <c r="T38" i="37"/>
  <c r="Q40" i="37"/>
  <c r="T46" i="37"/>
  <c r="Q27" i="37"/>
  <c r="U28" i="37"/>
  <c r="T45" i="37"/>
  <c r="Q47" i="37"/>
  <c r="T48" i="37"/>
  <c r="U38" i="37"/>
  <c r="R45" i="37"/>
  <c r="R31" i="37"/>
  <c r="Q28" i="37"/>
  <c r="U49" i="37"/>
  <c r="U29" i="37"/>
  <c r="T49" i="37"/>
  <c r="Q49" i="37"/>
  <c r="S30" i="37"/>
  <c r="U47" i="37"/>
  <c r="U48" i="37"/>
  <c r="R39" i="37"/>
  <c r="U36" i="37"/>
  <c r="S40" i="37"/>
  <c r="T29" i="37"/>
  <c r="Q30" i="37"/>
  <c r="S38" i="37"/>
  <c r="S31" i="37"/>
  <c r="T31" i="37"/>
  <c r="U30" i="37"/>
  <c r="T37" i="37"/>
  <c r="T30" i="37"/>
  <c r="S48" i="37"/>
  <c r="R47" i="37"/>
  <c r="R28" i="37"/>
  <c r="S27" i="37"/>
  <c r="R27" i="37"/>
  <c r="U39" i="37"/>
  <c r="Q36" i="37"/>
  <c r="Q48" i="37"/>
  <c r="R48" i="37"/>
  <c r="Q29" i="37"/>
  <c r="S29" i="37"/>
  <c r="S36" i="37"/>
  <c r="Q38" i="37"/>
  <c r="AA49" i="34"/>
  <c r="AB49" i="34"/>
  <c r="Z49" i="34"/>
  <c r="X49" i="34"/>
  <c r="Y49" i="34"/>
  <c r="G45" i="2"/>
  <c r="G44" i="2"/>
  <c r="G43" i="2"/>
  <c r="G42" i="2"/>
  <c r="G41" i="2"/>
  <c r="G40" i="2"/>
  <c r="G39" i="2"/>
  <c r="G38" i="2"/>
  <c r="G37" i="2"/>
  <c r="G29" i="2"/>
  <c r="G26" i="2"/>
  <c r="G20" i="2"/>
  <c r="G19" i="2"/>
  <c r="G18" i="2"/>
  <c r="G17" i="2"/>
  <c r="G15" i="2"/>
  <c r="G16" i="2" s="1"/>
  <c r="G14" i="2"/>
  <c r="G13" i="2"/>
  <c r="G12" i="2"/>
  <c r="G10" i="2"/>
  <c r="G6" i="2"/>
  <c r="G5" i="2"/>
  <c r="AB49" i="37" l="1"/>
  <c r="X49" i="37"/>
  <c r="AA49" i="37"/>
  <c r="Z49" i="37"/>
  <c r="Y49" i="37"/>
  <c r="AO40" i="37"/>
  <c r="AO49" i="37" s="1"/>
  <c r="AL40" i="37"/>
  <c r="AL49" i="37" s="1"/>
  <c r="AP40" i="37"/>
  <c r="AP49" i="37" s="1"/>
  <c r="AM40" i="37"/>
  <c r="AM49" i="37" s="1"/>
  <c r="AN40" i="37"/>
  <c r="AN49" i="37" s="1"/>
  <c r="AM54" i="44"/>
  <c r="AM63" i="44" s="1"/>
  <c r="AL54" i="44"/>
  <c r="AL63" i="44" s="1"/>
  <c r="AP54" i="44"/>
  <c r="AP63" i="44" s="1"/>
  <c r="AO54" i="44"/>
  <c r="AO63" i="44" s="1"/>
  <c r="AN54" i="44"/>
  <c r="AN63" i="44" s="1"/>
  <c r="Z49" i="45"/>
  <c r="AB49" i="45"/>
  <c r="X49" i="45"/>
  <c r="AA49" i="45"/>
  <c r="Y49" i="45"/>
  <c r="AG36" i="34"/>
  <c r="AG45" i="34" s="1"/>
  <c r="AF36" i="34"/>
  <c r="AF45" i="34" s="1"/>
  <c r="AE36" i="34"/>
  <c r="AE45" i="34" s="1"/>
  <c r="AI36" i="34"/>
  <c r="AI45" i="34" s="1"/>
  <c r="AH36" i="34"/>
  <c r="AH45" i="34" s="1"/>
  <c r="AI38" i="41"/>
  <c r="AI47" i="41" s="1"/>
  <c r="AE38" i="41"/>
  <c r="AE47" i="41" s="1"/>
  <c r="AG38" i="41"/>
  <c r="AG47" i="41" s="1"/>
  <c r="AH38" i="41"/>
  <c r="AH47" i="41" s="1"/>
  <c r="AF38" i="41"/>
  <c r="AF47" i="41" s="1"/>
  <c r="AB47" i="41"/>
  <c r="AA47" i="41"/>
  <c r="Y47" i="41"/>
  <c r="X47" i="41"/>
  <c r="Z47" i="41"/>
  <c r="AF39" i="34"/>
  <c r="AF48" i="34" s="1"/>
  <c r="AI39" i="34"/>
  <c r="AI48" i="34" s="1"/>
  <c r="AH39" i="34"/>
  <c r="AH48" i="34" s="1"/>
  <c r="AG39" i="34"/>
  <c r="AG48" i="34" s="1"/>
  <c r="AE39" i="34"/>
  <c r="AE48" i="34" s="1"/>
  <c r="AF37" i="34"/>
  <c r="AF46" i="34" s="1"/>
  <c r="AG37" i="34"/>
  <c r="AG46" i="34" s="1"/>
  <c r="AH37" i="34"/>
  <c r="AH46" i="34" s="1"/>
  <c r="AE37" i="34"/>
  <c r="AE46" i="34" s="1"/>
  <c r="AI37" i="34"/>
  <c r="AI46" i="34" s="1"/>
  <c r="Z40" i="37"/>
  <c r="AB40" i="37"/>
  <c r="Y40" i="37"/>
  <c r="AA40" i="37"/>
  <c r="X40" i="37"/>
  <c r="AG31" i="34"/>
  <c r="AH31" i="34"/>
  <c r="AE31" i="34"/>
  <c r="AF31" i="34"/>
  <c r="AI31" i="34"/>
  <c r="AD46" i="34"/>
  <c r="AD45" i="34"/>
  <c r="AD48" i="34"/>
  <c r="AD49" i="34" s="1"/>
  <c r="AD40" i="34"/>
  <c r="G47" i="2"/>
  <c r="G21" i="2"/>
  <c r="G22" i="2" s="1"/>
  <c r="N11" i="49" s="1"/>
  <c r="N17" i="49" l="1"/>
  <c r="N17" i="47"/>
  <c r="N11" i="47"/>
  <c r="AE40" i="34"/>
  <c r="AE49" i="34" s="1"/>
  <c r="AH40" i="34"/>
  <c r="AH49" i="34" s="1"/>
  <c r="AG40" i="34"/>
  <c r="AG49" i="34" s="1"/>
  <c r="AF40" i="34"/>
  <c r="AF49" i="34" s="1"/>
  <c r="AI40" i="34"/>
  <c r="AI49" i="34" s="1"/>
  <c r="N17" i="45"/>
  <c r="N18" i="44"/>
  <c r="N18" i="42"/>
  <c r="N17" i="41"/>
  <c r="N11" i="45"/>
  <c r="N12" i="42"/>
  <c r="N12" i="44"/>
  <c r="N11" i="41"/>
  <c r="N11" i="37"/>
  <c r="N11" i="34"/>
  <c r="N17" i="37"/>
  <c r="N17" i="34"/>
  <c r="F34" i="12"/>
  <c r="F52" i="12"/>
  <c r="AI13" i="44" l="1"/>
  <c r="AI14" i="44" s="1"/>
  <c r="AI13" i="42"/>
  <c r="AI14" i="42" s="1"/>
  <c r="G3" i="21"/>
  <c r="G3" i="12"/>
  <c r="U7" i="34" s="1"/>
  <c r="U9" i="34" s="1"/>
  <c r="U15" i="34" s="1"/>
  <c r="U19" i="34" s="1"/>
  <c r="AG30" i="42" l="1"/>
  <c r="AE29" i="42"/>
  <c r="AF30" i="42"/>
  <c r="AI26" i="42"/>
  <c r="AI30" i="42"/>
  <c r="AH29" i="42"/>
  <c r="AF27" i="42"/>
  <c r="AF29" i="42"/>
  <c r="AE30" i="42"/>
  <c r="AF26" i="42"/>
  <c r="AH28" i="42"/>
  <c r="AH27" i="42"/>
  <c r="AH26" i="42"/>
  <c r="AE28" i="42"/>
  <c r="AE27" i="42"/>
  <c r="AI28" i="42"/>
  <c r="AI27" i="42"/>
  <c r="AI29" i="42"/>
  <c r="AH30" i="42"/>
  <c r="AF28" i="42"/>
  <c r="AG27" i="42"/>
  <c r="AG26" i="42"/>
  <c r="AG28" i="42"/>
  <c r="AG29" i="42"/>
  <c r="AE26" i="42"/>
  <c r="AI16" i="42"/>
  <c r="AI20" i="42" s="1"/>
  <c r="AG37" i="42"/>
  <c r="AE37" i="42"/>
  <c r="AH37" i="42"/>
  <c r="AF37" i="42"/>
  <c r="AI37" i="42"/>
  <c r="AG35" i="42"/>
  <c r="AH38" i="42"/>
  <c r="AH35" i="42"/>
  <c r="AI35" i="42"/>
  <c r="AH39" i="42"/>
  <c r="AG39" i="42"/>
  <c r="AF39" i="42"/>
  <c r="AI39" i="42"/>
  <c r="AF38" i="42"/>
  <c r="AE35" i="42"/>
  <c r="AI38" i="42"/>
  <c r="AF35" i="42"/>
  <c r="AE36" i="42"/>
  <c r="AG38" i="42"/>
  <c r="AE39" i="42"/>
  <c r="AI36" i="42"/>
  <c r="AG36" i="42"/>
  <c r="AE38" i="42"/>
  <c r="AH36" i="42"/>
  <c r="AF36" i="42"/>
  <c r="AG28" i="44"/>
  <c r="AI39" i="44"/>
  <c r="AH35" i="44"/>
  <c r="AG37" i="44"/>
  <c r="AI38" i="44"/>
  <c r="AH37" i="44"/>
  <c r="AG26" i="44"/>
  <c r="AF37" i="44"/>
  <c r="AE38" i="44"/>
  <c r="AI35" i="44"/>
  <c r="AG30" i="44"/>
  <c r="AG36" i="44"/>
  <c r="AE37" i="44"/>
  <c r="AF38" i="44"/>
  <c r="AF35" i="44"/>
  <c r="AG38" i="44"/>
  <c r="AF39" i="44"/>
  <c r="AE39" i="44"/>
  <c r="AE35" i="44"/>
  <c r="AG27" i="44"/>
  <c r="AG39" i="44"/>
  <c r="AG35" i="44"/>
  <c r="AG29" i="44"/>
  <c r="AF36" i="44"/>
  <c r="AE36" i="44"/>
  <c r="AH39" i="44"/>
  <c r="AI36" i="44"/>
  <c r="AI37" i="44"/>
  <c r="AH38" i="44"/>
  <c r="AH36" i="44"/>
  <c r="AE27" i="44"/>
  <c r="AE30" i="44"/>
  <c r="AE28" i="44"/>
  <c r="AF29" i="44"/>
  <c r="AF30" i="44"/>
  <c r="AE26" i="44"/>
  <c r="AI16" i="44"/>
  <c r="AI20" i="44" s="1"/>
  <c r="AF26" i="44"/>
  <c r="AF27" i="44"/>
  <c r="AF28" i="44"/>
  <c r="AE29" i="44"/>
  <c r="AH26" i="44"/>
  <c r="AH27" i="44"/>
  <c r="AH29" i="44"/>
  <c r="AI28" i="44"/>
  <c r="AI26" i="44"/>
  <c r="AH28" i="44"/>
  <c r="AI27" i="44"/>
  <c r="AI30" i="44"/>
  <c r="AH30" i="44"/>
  <c r="AI29" i="44"/>
  <c r="G7" i="12"/>
  <c r="G7" i="21"/>
  <c r="G51" i="21" s="1"/>
  <c r="G33" i="21" l="1"/>
  <c r="G51" i="12"/>
  <c r="G33" i="12"/>
  <c r="D3" i="2" l="1"/>
  <c r="N3" i="47" l="1"/>
  <c r="N3" i="45"/>
  <c r="N3" i="44"/>
  <c r="N3" i="42"/>
  <c r="N3" i="41"/>
  <c r="N3" i="37"/>
  <c r="N3" i="34"/>
  <c r="I29" i="34" s="1"/>
  <c r="G3" i="2"/>
  <c r="N7" i="34" s="1"/>
  <c r="N9" i="34" s="1"/>
  <c r="G24" i="2"/>
  <c r="N12" i="49" s="1"/>
  <c r="N13" i="49" s="1"/>
  <c r="J30" i="49" l="1"/>
  <c r="N28" i="49"/>
  <c r="N37" i="49" s="1"/>
  <c r="M31" i="49"/>
  <c r="M27" i="49"/>
  <c r="M36" i="49" s="1"/>
  <c r="N27" i="49"/>
  <c r="N36" i="49" s="1"/>
  <c r="J31" i="49"/>
  <c r="L30" i="49"/>
  <c r="N30" i="49"/>
  <c r="M28" i="49"/>
  <c r="M37" i="49" s="1"/>
  <c r="K30" i="49"/>
  <c r="L27" i="49"/>
  <c r="L36" i="49" s="1"/>
  <c r="L31" i="49"/>
  <c r="J28" i="49"/>
  <c r="J37" i="49" s="1"/>
  <c r="K31" i="49"/>
  <c r="M30" i="49"/>
  <c r="K28" i="49"/>
  <c r="K37" i="49" s="1"/>
  <c r="K27" i="49"/>
  <c r="K36" i="49" s="1"/>
  <c r="L28" i="49"/>
  <c r="L37" i="49" s="1"/>
  <c r="N31" i="49"/>
  <c r="J27" i="49"/>
  <c r="J36" i="49" s="1"/>
  <c r="I29" i="47"/>
  <c r="I27" i="34"/>
  <c r="I30" i="34"/>
  <c r="I28" i="34"/>
  <c r="L29" i="34"/>
  <c r="I27" i="41"/>
  <c r="N7" i="41"/>
  <c r="N9" i="41" s="1"/>
  <c r="N12" i="47"/>
  <c r="N13" i="47" s="1"/>
  <c r="N12" i="45"/>
  <c r="N13" i="45" s="1"/>
  <c r="N13" i="42"/>
  <c r="N13" i="44"/>
  <c r="N12" i="41"/>
  <c r="N13" i="41" s="1"/>
  <c r="N12" i="37"/>
  <c r="N13" i="37" s="1"/>
  <c r="N12" i="34"/>
  <c r="N13" i="34" s="1"/>
  <c r="J29" i="34" s="1"/>
  <c r="I29" i="45"/>
  <c r="N7" i="45"/>
  <c r="N9" i="45" s="1"/>
  <c r="N7" i="47"/>
  <c r="N9" i="47" s="1"/>
  <c r="I29" i="37"/>
  <c r="N7" i="37"/>
  <c r="N9" i="37" s="1"/>
  <c r="I28" i="42"/>
  <c r="N8" i="42"/>
  <c r="N10" i="42" s="1"/>
  <c r="I28" i="44"/>
  <c r="N8" i="44"/>
  <c r="N15" i="34"/>
  <c r="N19" i="34" s="1"/>
  <c r="I31" i="34"/>
  <c r="M31" i="34" s="1"/>
  <c r="I38" i="34"/>
  <c r="G7" i="2"/>
  <c r="G27" i="2"/>
  <c r="G31" i="2" s="1"/>
  <c r="M29" i="34" l="1"/>
  <c r="N29" i="34"/>
  <c r="K29" i="34"/>
  <c r="J38" i="34"/>
  <c r="M38" i="34"/>
  <c r="L38" i="34"/>
  <c r="P37" i="49"/>
  <c r="W37" i="49" s="1"/>
  <c r="N7" i="49"/>
  <c r="N9" i="49" s="1"/>
  <c r="N15" i="49" s="1"/>
  <c r="N19" i="49" s="1"/>
  <c r="U3" i="49"/>
  <c r="N21" i="49"/>
  <c r="N22" i="49"/>
  <c r="P29" i="47"/>
  <c r="N15" i="37"/>
  <c r="N19" i="37" s="1"/>
  <c r="K38" i="34"/>
  <c r="N38" i="34"/>
  <c r="K31" i="34"/>
  <c r="L31" i="34"/>
  <c r="J31" i="34"/>
  <c r="N15" i="41"/>
  <c r="N19" i="41" s="1"/>
  <c r="N31" i="34"/>
  <c r="AB13" i="44"/>
  <c r="AB14" i="44" s="1"/>
  <c r="N14" i="44"/>
  <c r="L35" i="44" s="1"/>
  <c r="N22" i="45"/>
  <c r="N21" i="45"/>
  <c r="N15" i="47"/>
  <c r="N19" i="47" s="1"/>
  <c r="N22" i="47"/>
  <c r="N21" i="47"/>
  <c r="I38" i="47"/>
  <c r="I47" i="47" s="1"/>
  <c r="M29" i="47"/>
  <c r="M38" i="47" s="1"/>
  <c r="N29" i="47"/>
  <c r="N38" i="47" s="1"/>
  <c r="L29" i="47"/>
  <c r="L38" i="47" s="1"/>
  <c r="J29" i="47"/>
  <c r="J38" i="47" s="1"/>
  <c r="K29" i="47"/>
  <c r="K38" i="47" s="1"/>
  <c r="N15" i="45"/>
  <c r="N19" i="45" s="1"/>
  <c r="I38" i="37"/>
  <c r="I30" i="37"/>
  <c r="I31" i="37"/>
  <c r="I27" i="37"/>
  <c r="I28" i="37"/>
  <c r="K29" i="37"/>
  <c r="L29" i="37"/>
  <c r="M29" i="37"/>
  <c r="J29" i="37"/>
  <c r="N29" i="37"/>
  <c r="I31" i="45"/>
  <c r="I30" i="45"/>
  <c r="I27" i="45"/>
  <c r="I28" i="45"/>
  <c r="I38" i="45"/>
  <c r="J29" i="45"/>
  <c r="L29" i="45"/>
  <c r="K29" i="45"/>
  <c r="N29" i="45"/>
  <c r="M29" i="45"/>
  <c r="AB13" i="42"/>
  <c r="AB14" i="42" s="1"/>
  <c r="N14" i="42"/>
  <c r="N28" i="42" s="1"/>
  <c r="N10" i="44"/>
  <c r="M36" i="44"/>
  <c r="N36" i="44"/>
  <c r="J39" i="44"/>
  <c r="N21" i="34"/>
  <c r="N22" i="34"/>
  <c r="J28" i="34"/>
  <c r="M28" i="34"/>
  <c r="L28" i="34"/>
  <c r="N28" i="34"/>
  <c r="K28" i="34"/>
  <c r="I52" i="44"/>
  <c r="I27" i="44"/>
  <c r="I30" i="44"/>
  <c r="I29" i="44"/>
  <c r="I26" i="44"/>
  <c r="J28" i="44"/>
  <c r="L28" i="44"/>
  <c r="I30" i="42"/>
  <c r="I48" i="42"/>
  <c r="I26" i="42"/>
  <c r="I27" i="42"/>
  <c r="I29" i="42"/>
  <c r="I47" i="34"/>
  <c r="I39" i="34"/>
  <c r="I37" i="34"/>
  <c r="I36" i="34"/>
  <c r="I40" i="34"/>
  <c r="N21" i="37"/>
  <c r="N22" i="37"/>
  <c r="K30" i="34"/>
  <c r="N30" i="34"/>
  <c r="L30" i="34"/>
  <c r="J30" i="34"/>
  <c r="M30" i="34"/>
  <c r="I25" i="41"/>
  <c r="I28" i="41"/>
  <c r="I36" i="41"/>
  <c r="I26" i="41"/>
  <c r="I29" i="41"/>
  <c r="M27" i="41"/>
  <c r="J27" i="41"/>
  <c r="L27" i="41"/>
  <c r="N27" i="41"/>
  <c r="K27" i="41"/>
  <c r="K27" i="34"/>
  <c r="J27" i="34"/>
  <c r="M27" i="34"/>
  <c r="N27" i="34"/>
  <c r="L27" i="34"/>
  <c r="G33" i="2"/>
  <c r="F34" i="2"/>
  <c r="G49" i="2"/>
  <c r="F52" i="2" s="1"/>
  <c r="N16" i="44" l="1"/>
  <c r="N20" i="44" s="1"/>
  <c r="P38" i="47"/>
  <c r="P47" i="47" s="1"/>
  <c r="R29" i="47"/>
  <c r="R38" i="47" s="1"/>
  <c r="Q29" i="47"/>
  <c r="Q38" i="47" s="1"/>
  <c r="S29" i="47"/>
  <c r="T29" i="47"/>
  <c r="T38" i="47" s="1"/>
  <c r="U29" i="47"/>
  <c r="U38" i="47" s="1"/>
  <c r="P29" i="49"/>
  <c r="U7" i="49"/>
  <c r="U9" i="49" s="1"/>
  <c r="U15" i="49" s="1"/>
  <c r="U19" i="49" s="1"/>
  <c r="U21" i="49"/>
  <c r="U22" i="49"/>
  <c r="N29" i="49"/>
  <c r="N38" i="49" s="1"/>
  <c r="J29" i="49"/>
  <c r="J38" i="49" s="1"/>
  <c r="K29" i="49"/>
  <c r="K38" i="49" s="1"/>
  <c r="M29" i="49"/>
  <c r="M38" i="49" s="1"/>
  <c r="L29" i="49"/>
  <c r="L38" i="49" s="1"/>
  <c r="K36" i="44"/>
  <c r="K28" i="44"/>
  <c r="M35" i="44"/>
  <c r="M28" i="44"/>
  <c r="N38" i="44"/>
  <c r="N28" i="44"/>
  <c r="L37" i="44"/>
  <c r="K38" i="44"/>
  <c r="L36" i="44"/>
  <c r="N39" i="44"/>
  <c r="M39" i="44"/>
  <c r="M38" i="44"/>
  <c r="M37" i="44"/>
  <c r="K39" i="44"/>
  <c r="K28" i="42"/>
  <c r="K37" i="44"/>
  <c r="J36" i="44"/>
  <c r="K35" i="44"/>
  <c r="L38" i="44"/>
  <c r="N47" i="47"/>
  <c r="L47" i="47"/>
  <c r="M47" i="47"/>
  <c r="K47" i="47"/>
  <c r="J47" i="47"/>
  <c r="L28" i="42"/>
  <c r="J35" i="44"/>
  <c r="M28" i="42"/>
  <c r="J38" i="44"/>
  <c r="J28" i="42"/>
  <c r="L39" i="44"/>
  <c r="N37" i="44"/>
  <c r="J37" i="44"/>
  <c r="N35" i="44"/>
  <c r="L37" i="34"/>
  <c r="N37" i="34"/>
  <c r="K37" i="34"/>
  <c r="M37" i="34"/>
  <c r="J37" i="34"/>
  <c r="M29" i="41"/>
  <c r="L29" i="41"/>
  <c r="K29" i="41"/>
  <c r="N29" i="41"/>
  <c r="J29" i="41"/>
  <c r="L30" i="45"/>
  <c r="K30" i="45"/>
  <c r="N30" i="45"/>
  <c r="J30" i="45"/>
  <c r="M30" i="45"/>
  <c r="N26" i="41"/>
  <c r="K26" i="41"/>
  <c r="J26" i="41"/>
  <c r="M26" i="41"/>
  <c r="L26" i="41"/>
  <c r="N31" i="45"/>
  <c r="J31" i="45"/>
  <c r="K31" i="45"/>
  <c r="L31" i="45"/>
  <c r="M31" i="45"/>
  <c r="I46" i="34"/>
  <c r="I45" i="34"/>
  <c r="I48" i="34"/>
  <c r="I49" i="34"/>
  <c r="J47" i="34"/>
  <c r="K47" i="34"/>
  <c r="L47" i="34"/>
  <c r="N47" i="34"/>
  <c r="M47" i="34"/>
  <c r="K39" i="34"/>
  <c r="N39" i="34"/>
  <c r="M39" i="34"/>
  <c r="J39" i="34"/>
  <c r="L39" i="34"/>
  <c r="I39" i="47"/>
  <c r="I48" i="47" s="1"/>
  <c r="L30" i="47"/>
  <c r="L39" i="47" s="1"/>
  <c r="N30" i="47"/>
  <c r="N39" i="47" s="1"/>
  <c r="M30" i="47"/>
  <c r="M39" i="47" s="1"/>
  <c r="J30" i="47"/>
  <c r="J39" i="47" s="1"/>
  <c r="K30" i="47"/>
  <c r="K39" i="47" s="1"/>
  <c r="K36" i="34"/>
  <c r="L36" i="34"/>
  <c r="J36" i="34"/>
  <c r="M36" i="34"/>
  <c r="N36" i="34"/>
  <c r="M26" i="44"/>
  <c r="N26" i="44"/>
  <c r="J26" i="44"/>
  <c r="L26" i="44"/>
  <c r="K26" i="44"/>
  <c r="L30" i="44"/>
  <c r="N30" i="44"/>
  <c r="J30" i="44"/>
  <c r="K30" i="44"/>
  <c r="M30" i="44"/>
  <c r="M25" i="41"/>
  <c r="J25" i="41"/>
  <c r="K25" i="41"/>
  <c r="L25" i="41"/>
  <c r="N25" i="41"/>
  <c r="I50" i="44"/>
  <c r="I61" i="44"/>
  <c r="I54" i="44"/>
  <c r="I53" i="44"/>
  <c r="I51" i="44"/>
  <c r="K52" i="44"/>
  <c r="L52" i="44"/>
  <c r="J52" i="44"/>
  <c r="N52" i="44"/>
  <c r="M52" i="44"/>
  <c r="I40" i="47"/>
  <c r="I49" i="47" s="1"/>
  <c r="L31" i="47"/>
  <c r="J31" i="47"/>
  <c r="J40" i="47" s="1"/>
  <c r="K31" i="47"/>
  <c r="K40" i="47" s="1"/>
  <c r="N31" i="47"/>
  <c r="N40" i="47" s="1"/>
  <c r="M31" i="47"/>
  <c r="M40" i="47" s="1"/>
  <c r="K40" i="34"/>
  <c r="J40" i="34"/>
  <c r="N40" i="34"/>
  <c r="L40" i="34"/>
  <c r="M40" i="34"/>
  <c r="I45" i="41"/>
  <c r="I35" i="41"/>
  <c r="I38" i="41"/>
  <c r="I34" i="41"/>
  <c r="I37" i="41"/>
  <c r="M36" i="41"/>
  <c r="L36" i="41"/>
  <c r="N36" i="41"/>
  <c r="K36" i="41"/>
  <c r="J36" i="41"/>
  <c r="I36" i="47"/>
  <c r="I45" i="47" s="1"/>
  <c r="L27" i="47"/>
  <c r="N27" i="47"/>
  <c r="N36" i="47" s="1"/>
  <c r="J27" i="47"/>
  <c r="J36" i="47" s="1"/>
  <c r="K27" i="47"/>
  <c r="K36" i="47" s="1"/>
  <c r="M27" i="47"/>
  <c r="M36" i="47" s="1"/>
  <c r="L28" i="45"/>
  <c r="J28" i="45"/>
  <c r="M28" i="45"/>
  <c r="K28" i="45"/>
  <c r="N28" i="45"/>
  <c r="J27" i="44"/>
  <c r="L27" i="44"/>
  <c r="K27" i="44"/>
  <c r="M27" i="44"/>
  <c r="N27" i="44"/>
  <c r="M29" i="42"/>
  <c r="L29" i="42"/>
  <c r="K29" i="42"/>
  <c r="J29" i="42"/>
  <c r="N29" i="42"/>
  <c r="L36" i="42"/>
  <c r="J37" i="42"/>
  <c r="K38" i="42"/>
  <c r="K37" i="42"/>
  <c r="L38" i="42"/>
  <c r="N38" i="42"/>
  <c r="M36" i="42"/>
  <c r="N37" i="42"/>
  <c r="M38" i="42"/>
  <c r="N36" i="42"/>
  <c r="N39" i="42"/>
  <c r="N35" i="42"/>
  <c r="M39" i="42"/>
  <c r="K35" i="42"/>
  <c r="J39" i="42"/>
  <c r="L35" i="42"/>
  <c r="L39" i="42"/>
  <c r="L37" i="42"/>
  <c r="K39" i="42"/>
  <c r="J36" i="42"/>
  <c r="K36" i="42"/>
  <c r="M35" i="42"/>
  <c r="J38" i="42"/>
  <c r="M37" i="42"/>
  <c r="L28" i="47"/>
  <c r="I37" i="47"/>
  <c r="I46" i="47" s="1"/>
  <c r="J28" i="47"/>
  <c r="J37" i="47" s="1"/>
  <c r="M28" i="47"/>
  <c r="M37" i="47" s="1"/>
  <c r="N28" i="47"/>
  <c r="N37" i="47" s="1"/>
  <c r="K28" i="47"/>
  <c r="K37" i="47" s="1"/>
  <c r="N29" i="44"/>
  <c r="J29" i="44"/>
  <c r="K29" i="44"/>
  <c r="L29" i="44"/>
  <c r="M29" i="44"/>
  <c r="J27" i="42"/>
  <c r="L27" i="42"/>
  <c r="K27" i="42"/>
  <c r="M27" i="42"/>
  <c r="N27" i="42"/>
  <c r="Y47" i="42"/>
  <c r="Y56" i="42" s="1"/>
  <c r="Z26" i="42"/>
  <c r="AB48" i="42"/>
  <c r="AB57" i="42" s="1"/>
  <c r="X46" i="42"/>
  <c r="X55" i="42" s="1"/>
  <c r="AA50" i="42"/>
  <c r="AA59" i="42" s="1"/>
  <c r="AA27" i="42"/>
  <c r="X47" i="42"/>
  <c r="X56" i="42" s="1"/>
  <c r="AA49" i="42"/>
  <c r="AA58" i="42" s="1"/>
  <c r="AB49" i="42"/>
  <c r="AB58" i="42" s="1"/>
  <c r="AA37" i="42"/>
  <c r="Y38" i="42"/>
  <c r="Z49" i="42"/>
  <c r="Z58" i="42" s="1"/>
  <c r="X26" i="42"/>
  <c r="AA46" i="42"/>
  <c r="AA55" i="42" s="1"/>
  <c r="X30" i="42"/>
  <c r="AB50" i="42"/>
  <c r="AB59" i="42" s="1"/>
  <c r="Z35" i="42"/>
  <c r="AB26" i="42"/>
  <c r="X37" i="42"/>
  <c r="Z38" i="42"/>
  <c r="AB39" i="42"/>
  <c r="AA48" i="42"/>
  <c r="AA57" i="42" s="1"/>
  <c r="Y48" i="42"/>
  <c r="Y57" i="42" s="1"/>
  <c r="Y28" i="42"/>
  <c r="AB38" i="42"/>
  <c r="X49" i="42"/>
  <c r="X58" i="42" s="1"/>
  <c r="Z48" i="42"/>
  <c r="Z57" i="42" s="1"/>
  <c r="AA28" i="42"/>
  <c r="X38" i="42"/>
  <c r="AB35" i="42"/>
  <c r="Y35" i="42"/>
  <c r="X27" i="42"/>
  <c r="Z37" i="42"/>
  <c r="AA38" i="42"/>
  <c r="AA29" i="42"/>
  <c r="Z28" i="42"/>
  <c r="X50" i="42"/>
  <c r="X59" i="42" s="1"/>
  <c r="X28" i="42"/>
  <c r="AB27" i="42"/>
  <c r="Y26" i="42"/>
  <c r="AB47" i="42"/>
  <c r="AB56" i="42" s="1"/>
  <c r="Y30" i="42"/>
  <c r="Z46" i="42"/>
  <c r="Z55" i="42" s="1"/>
  <c r="AA26" i="42"/>
  <c r="X48" i="42"/>
  <c r="X57" i="42" s="1"/>
  <c r="Z50" i="42"/>
  <c r="Z59" i="42" s="1"/>
  <c r="Z47" i="42"/>
  <c r="Z56" i="42" s="1"/>
  <c r="AB46" i="42"/>
  <c r="AB55" i="42" s="1"/>
  <c r="Y49" i="42"/>
  <c r="Y58" i="42" s="1"/>
  <c r="Y46" i="42"/>
  <c r="Y55" i="42" s="1"/>
  <c r="Z39" i="42"/>
  <c r="AA47" i="42"/>
  <c r="AA56" i="42" s="1"/>
  <c r="Y27" i="42"/>
  <c r="Z30" i="42"/>
  <c r="X35" i="42"/>
  <c r="X36" i="42"/>
  <c r="AA36" i="42"/>
  <c r="Y29" i="42"/>
  <c r="AA39" i="42"/>
  <c r="Z27" i="42"/>
  <c r="Y37" i="42"/>
  <c r="Y36" i="42"/>
  <c r="AA35" i="42"/>
  <c r="AB29" i="42"/>
  <c r="Z29" i="42"/>
  <c r="X39" i="42"/>
  <c r="AB36" i="42"/>
  <c r="AA30" i="42"/>
  <c r="AB30" i="42"/>
  <c r="X29" i="42"/>
  <c r="AB37" i="42"/>
  <c r="Y50" i="42"/>
  <c r="Y59" i="42" s="1"/>
  <c r="Z36" i="42"/>
  <c r="AB28" i="42"/>
  <c r="Y39" i="42"/>
  <c r="AB16" i="42"/>
  <c r="AB20" i="42" s="1"/>
  <c r="M28" i="37"/>
  <c r="N28" i="37"/>
  <c r="J28" i="37"/>
  <c r="K28" i="37"/>
  <c r="L28" i="37"/>
  <c r="I40" i="45"/>
  <c r="I47" i="45"/>
  <c r="I37" i="45"/>
  <c r="I36" i="45"/>
  <c r="I39" i="45"/>
  <c r="L38" i="45"/>
  <c r="M38" i="45"/>
  <c r="K38" i="45"/>
  <c r="N38" i="45"/>
  <c r="J38" i="45"/>
  <c r="K26" i="42"/>
  <c r="J35" i="42"/>
  <c r="J26" i="42"/>
  <c r="M26" i="42"/>
  <c r="N26" i="42"/>
  <c r="L26" i="42"/>
  <c r="L27" i="37"/>
  <c r="N27" i="37"/>
  <c r="J27" i="37"/>
  <c r="K27" i="37"/>
  <c r="M27" i="37"/>
  <c r="I47" i="42"/>
  <c r="I46" i="42"/>
  <c r="I57" i="42"/>
  <c r="I50" i="42"/>
  <c r="I49" i="42"/>
  <c r="J48" i="42"/>
  <c r="L48" i="42"/>
  <c r="M48" i="42"/>
  <c r="N48" i="42"/>
  <c r="K48" i="42"/>
  <c r="L31" i="37"/>
  <c r="J31" i="37"/>
  <c r="K31" i="37"/>
  <c r="N31" i="37"/>
  <c r="M31" i="37"/>
  <c r="L27" i="45"/>
  <c r="N27" i="45"/>
  <c r="J27" i="45"/>
  <c r="K27" i="45"/>
  <c r="M27" i="45"/>
  <c r="N28" i="41"/>
  <c r="J28" i="41"/>
  <c r="K28" i="41"/>
  <c r="M28" i="41"/>
  <c r="L28" i="41"/>
  <c r="M30" i="42"/>
  <c r="J30" i="42"/>
  <c r="L30" i="42"/>
  <c r="N30" i="42"/>
  <c r="K30" i="42"/>
  <c r="N30" i="37"/>
  <c r="J30" i="37"/>
  <c r="M30" i="37"/>
  <c r="L30" i="37"/>
  <c r="K30" i="37"/>
  <c r="I39" i="37"/>
  <c r="I37" i="37"/>
  <c r="I47" i="37"/>
  <c r="I40" i="37"/>
  <c r="I36" i="37"/>
  <c r="N38" i="37"/>
  <c r="K38" i="37"/>
  <c r="J38" i="37"/>
  <c r="L38" i="37"/>
  <c r="M38" i="37"/>
  <c r="N16" i="42"/>
  <c r="N20" i="42" s="1"/>
  <c r="AB53" i="44"/>
  <c r="AB62" i="44" s="1"/>
  <c r="AA52" i="44"/>
  <c r="AA61" i="44" s="1"/>
  <c r="X29" i="44"/>
  <c r="Z27" i="44"/>
  <c r="AB50" i="44"/>
  <c r="AB59" i="44" s="1"/>
  <c r="Y54" i="44"/>
  <c r="Y63" i="44" s="1"/>
  <c r="X52" i="44"/>
  <c r="X61" i="44" s="1"/>
  <c r="X50" i="44"/>
  <c r="X59" i="44" s="1"/>
  <c r="Y29" i="44"/>
  <c r="Z54" i="44"/>
  <c r="Z63" i="44" s="1"/>
  <c r="X54" i="44"/>
  <c r="X63" i="44" s="1"/>
  <c r="AA26" i="44"/>
  <c r="AA28" i="44"/>
  <c r="Y50" i="44"/>
  <c r="Y59" i="44" s="1"/>
  <c r="AB29" i="44"/>
  <c r="AA53" i="44"/>
  <c r="AA62" i="44" s="1"/>
  <c r="Z26" i="44"/>
  <c r="Z50" i="44"/>
  <c r="Z59" i="44" s="1"/>
  <c r="Z28" i="44"/>
  <c r="X51" i="44"/>
  <c r="X60" i="44" s="1"/>
  <c r="AA51" i="44"/>
  <c r="AA60" i="44" s="1"/>
  <c r="AB52" i="44"/>
  <c r="AB61" i="44" s="1"/>
  <c r="AB28" i="44"/>
  <c r="AB54" i="44"/>
  <c r="AB63" i="44" s="1"/>
  <c r="Z51" i="44"/>
  <c r="Z60" i="44" s="1"/>
  <c r="AA29" i="44"/>
  <c r="AB30" i="44"/>
  <c r="X53" i="44"/>
  <c r="X62" i="44" s="1"/>
  <c r="AA54" i="44"/>
  <c r="AA63" i="44" s="1"/>
  <c r="X26" i="44"/>
  <c r="Y53" i="44"/>
  <c r="Y62" i="44" s="1"/>
  <c r="Y28" i="44"/>
  <c r="AA50" i="44"/>
  <c r="AA59" i="44" s="1"/>
  <c r="AB27" i="44"/>
  <c r="Y51" i="44"/>
  <c r="Y60" i="44" s="1"/>
  <c r="Y27" i="44"/>
  <c r="AB26" i="44"/>
  <c r="Z53" i="44"/>
  <c r="Z62" i="44" s="1"/>
  <c r="Z52" i="44"/>
  <c r="Z61" i="44" s="1"/>
  <c r="AB51" i="44"/>
  <c r="AB60" i="44" s="1"/>
  <c r="Y52" i="44"/>
  <c r="Y61" i="44" s="1"/>
  <c r="Y26" i="44"/>
  <c r="X28" i="44"/>
  <c r="Z30" i="44"/>
  <c r="X27" i="44"/>
  <c r="AA27" i="44"/>
  <c r="Y30" i="44"/>
  <c r="AA30" i="44"/>
  <c r="X30" i="44"/>
  <c r="Z29" i="44"/>
  <c r="Y37" i="44"/>
  <c r="AB16" i="44"/>
  <c r="AB20" i="44" s="1"/>
  <c r="AB37" i="44"/>
  <c r="Z37" i="44"/>
  <c r="X37" i="44"/>
  <c r="AA37" i="44"/>
  <c r="Z35" i="44"/>
  <c r="AB39" i="44"/>
  <c r="X39" i="44"/>
  <c r="Z39" i="44"/>
  <c r="Y39" i="44"/>
  <c r="AA39" i="44"/>
  <c r="X38" i="44"/>
  <c r="Y36" i="44"/>
  <c r="AA38" i="44"/>
  <c r="Z36" i="44"/>
  <c r="Y38" i="44"/>
  <c r="AB36" i="44"/>
  <c r="AB38" i="44"/>
  <c r="AA36" i="44"/>
  <c r="Z38" i="44"/>
  <c r="X36" i="44"/>
  <c r="X35" i="44"/>
  <c r="AB35" i="44"/>
  <c r="Y35" i="44"/>
  <c r="AA35" i="44"/>
  <c r="G51" i="2"/>
  <c r="P38" i="49" l="1"/>
  <c r="U29" i="49"/>
  <c r="Q29" i="49"/>
  <c r="R29" i="49"/>
  <c r="T29" i="49"/>
  <c r="S29" i="49"/>
  <c r="S38" i="49" s="1"/>
  <c r="S38" i="47"/>
  <c r="R47" i="47"/>
  <c r="S47" i="47"/>
  <c r="Q47" i="47"/>
  <c r="U47" i="47"/>
  <c r="T47" i="47"/>
  <c r="L37" i="47"/>
  <c r="L46" i="47"/>
  <c r="J46" i="47"/>
  <c r="N46" i="47"/>
  <c r="K46" i="47"/>
  <c r="M46" i="47"/>
  <c r="L36" i="47"/>
  <c r="K45" i="47"/>
  <c r="J45" i="47"/>
  <c r="L45" i="47"/>
  <c r="N45" i="47"/>
  <c r="M45" i="47"/>
  <c r="L40" i="47"/>
  <c r="L49" i="47"/>
  <c r="K49" i="47"/>
  <c r="J49" i="47"/>
  <c r="M49" i="47"/>
  <c r="N49" i="47"/>
  <c r="M48" i="47"/>
  <c r="N48" i="47"/>
  <c r="K48" i="47"/>
  <c r="L48" i="47"/>
  <c r="J48" i="47"/>
  <c r="L37" i="37"/>
  <c r="M37" i="37"/>
  <c r="K37" i="37"/>
  <c r="N37" i="37"/>
  <c r="J37" i="37"/>
  <c r="N37" i="41"/>
  <c r="M37" i="41"/>
  <c r="K37" i="41"/>
  <c r="J37" i="41"/>
  <c r="L37" i="41"/>
  <c r="M34" i="41"/>
  <c r="K34" i="41"/>
  <c r="L34" i="41"/>
  <c r="J34" i="41"/>
  <c r="N34" i="41"/>
  <c r="M39" i="37"/>
  <c r="L39" i="37"/>
  <c r="N39" i="37"/>
  <c r="J39" i="37"/>
  <c r="K39" i="37"/>
  <c r="K38" i="41"/>
  <c r="J38" i="41"/>
  <c r="M38" i="41"/>
  <c r="L38" i="41"/>
  <c r="N38" i="41"/>
  <c r="K49" i="34"/>
  <c r="M49" i="34"/>
  <c r="N49" i="34"/>
  <c r="L49" i="34"/>
  <c r="J49" i="34"/>
  <c r="K39" i="45"/>
  <c r="J39" i="45"/>
  <c r="N39" i="45"/>
  <c r="L39" i="45"/>
  <c r="M39" i="45"/>
  <c r="L35" i="41"/>
  <c r="N35" i="41"/>
  <c r="M35" i="41"/>
  <c r="J35" i="41"/>
  <c r="K35" i="41"/>
  <c r="K48" i="34"/>
  <c r="L48" i="34"/>
  <c r="J48" i="34"/>
  <c r="M48" i="34"/>
  <c r="N48" i="34"/>
  <c r="M36" i="45"/>
  <c r="N36" i="45"/>
  <c r="J36" i="45"/>
  <c r="K36" i="45"/>
  <c r="L36" i="45"/>
  <c r="I46" i="41"/>
  <c r="I44" i="41"/>
  <c r="I43" i="41"/>
  <c r="I47" i="41"/>
  <c r="J45" i="41"/>
  <c r="N45" i="41"/>
  <c r="L45" i="41"/>
  <c r="K45" i="41"/>
  <c r="M45" i="41"/>
  <c r="M45" i="34"/>
  <c r="K45" i="34"/>
  <c r="N45" i="34"/>
  <c r="J45" i="34"/>
  <c r="L45" i="34"/>
  <c r="L37" i="45"/>
  <c r="M37" i="45"/>
  <c r="J37" i="45"/>
  <c r="K37" i="45"/>
  <c r="N37" i="45"/>
  <c r="N46" i="34"/>
  <c r="M46" i="34"/>
  <c r="K46" i="34"/>
  <c r="J46" i="34"/>
  <c r="L46" i="34"/>
  <c r="I48" i="45"/>
  <c r="I46" i="45"/>
  <c r="I49" i="45"/>
  <c r="I45" i="45"/>
  <c r="K47" i="45"/>
  <c r="J47" i="45"/>
  <c r="M47" i="45"/>
  <c r="N47" i="45"/>
  <c r="L47" i="45"/>
  <c r="M40" i="45"/>
  <c r="N40" i="45"/>
  <c r="L40" i="45"/>
  <c r="K40" i="45"/>
  <c r="J40" i="45"/>
  <c r="K49" i="42"/>
  <c r="J49" i="42"/>
  <c r="N49" i="42"/>
  <c r="L49" i="42"/>
  <c r="M49" i="42"/>
  <c r="L50" i="42"/>
  <c r="K50" i="42"/>
  <c r="J50" i="42"/>
  <c r="N50" i="42"/>
  <c r="M50" i="42"/>
  <c r="L51" i="44"/>
  <c r="M51" i="44"/>
  <c r="K51" i="44"/>
  <c r="J51" i="44"/>
  <c r="N51" i="44"/>
  <c r="I59" i="42"/>
  <c r="I58" i="42"/>
  <c r="I55" i="42"/>
  <c r="I56" i="42"/>
  <c r="J57" i="42"/>
  <c r="N57" i="42"/>
  <c r="K57" i="42"/>
  <c r="L57" i="42"/>
  <c r="M57" i="42"/>
  <c r="M53" i="44"/>
  <c r="L53" i="44"/>
  <c r="K53" i="44"/>
  <c r="N53" i="44"/>
  <c r="J53" i="44"/>
  <c r="J36" i="37"/>
  <c r="N36" i="37"/>
  <c r="K36" i="37"/>
  <c r="M36" i="37"/>
  <c r="L36" i="37"/>
  <c r="M46" i="42"/>
  <c r="J46" i="42"/>
  <c r="N46" i="42"/>
  <c r="K46" i="42"/>
  <c r="L46" i="42"/>
  <c r="K54" i="44"/>
  <c r="N54" i="44"/>
  <c r="M54" i="44"/>
  <c r="J54" i="44"/>
  <c r="L54" i="44"/>
  <c r="M40" i="37"/>
  <c r="N40" i="37"/>
  <c r="J40" i="37"/>
  <c r="L40" i="37"/>
  <c r="K40" i="37"/>
  <c r="J47" i="42"/>
  <c r="M47" i="42"/>
  <c r="K47" i="42"/>
  <c r="L47" i="42"/>
  <c r="N47" i="42"/>
  <c r="I60" i="44"/>
  <c r="I62" i="44"/>
  <c r="I63" i="44"/>
  <c r="I59" i="44"/>
  <c r="J61" i="44"/>
  <c r="M61" i="44"/>
  <c r="N61" i="44"/>
  <c r="K61" i="44"/>
  <c r="L61" i="44"/>
  <c r="I48" i="37"/>
  <c r="I49" i="37"/>
  <c r="K47" i="37"/>
  <c r="M47" i="37"/>
  <c r="N47" i="37"/>
  <c r="J47" i="37"/>
  <c r="L47" i="37"/>
  <c r="J50" i="44"/>
  <c r="L50" i="44"/>
  <c r="M50" i="44"/>
  <c r="K50" i="44"/>
  <c r="N50" i="44"/>
  <c r="S40" i="49" l="1"/>
  <c r="T38" i="49"/>
  <c r="T40" i="49"/>
  <c r="R38" i="49"/>
  <c r="R40" i="49"/>
  <c r="Q38" i="49"/>
  <c r="Q40" i="49"/>
  <c r="U38" i="49"/>
  <c r="U40" i="49"/>
  <c r="N45" i="45"/>
  <c r="M45" i="45"/>
  <c r="L45" i="45"/>
  <c r="J45" i="45"/>
  <c r="K45" i="45"/>
  <c r="L49" i="45"/>
  <c r="J49" i="45"/>
  <c r="K49" i="45"/>
  <c r="N49" i="45"/>
  <c r="M49" i="45"/>
  <c r="N59" i="44"/>
  <c r="K59" i="44"/>
  <c r="J59" i="44"/>
  <c r="L59" i="44"/>
  <c r="M59" i="44"/>
  <c r="N63" i="44"/>
  <c r="J63" i="44"/>
  <c r="K63" i="44"/>
  <c r="L63" i="44"/>
  <c r="M63" i="44"/>
  <c r="K55" i="42"/>
  <c r="L55" i="42"/>
  <c r="J55" i="42"/>
  <c r="N55" i="42"/>
  <c r="M55" i="42"/>
  <c r="K46" i="45"/>
  <c r="J46" i="45"/>
  <c r="L46" i="45"/>
  <c r="M46" i="45"/>
  <c r="N46" i="45"/>
  <c r="L58" i="42"/>
  <c r="N58" i="42"/>
  <c r="K58" i="42"/>
  <c r="J58" i="42"/>
  <c r="M58" i="42"/>
  <c r="L48" i="45"/>
  <c r="N48" i="45"/>
  <c r="M48" i="45"/>
  <c r="J48" i="45"/>
  <c r="K48" i="45"/>
  <c r="L62" i="44"/>
  <c r="K62" i="44"/>
  <c r="M62" i="44"/>
  <c r="J62" i="44"/>
  <c r="N62" i="44"/>
  <c r="M59" i="42"/>
  <c r="L59" i="42"/>
  <c r="N59" i="42"/>
  <c r="J59" i="42"/>
  <c r="K59" i="42"/>
  <c r="K60" i="44"/>
  <c r="J60" i="44"/>
  <c r="M60" i="44"/>
  <c r="N60" i="44"/>
  <c r="L60" i="44"/>
  <c r="M56" i="42"/>
  <c r="L56" i="42"/>
  <c r="K56" i="42"/>
  <c r="J56" i="42"/>
  <c r="N56" i="42"/>
  <c r="L47" i="41"/>
  <c r="N47" i="41"/>
  <c r="M47" i="41"/>
  <c r="K47" i="41"/>
  <c r="J47" i="41"/>
  <c r="M45" i="37"/>
  <c r="N45" i="37"/>
  <c r="L45" i="37"/>
  <c r="K45" i="37"/>
  <c r="J45" i="37"/>
  <c r="L43" i="41"/>
  <c r="N43" i="41"/>
  <c r="J43" i="41"/>
  <c r="K43" i="41"/>
  <c r="M43" i="41"/>
  <c r="N49" i="37"/>
  <c r="L49" i="37"/>
  <c r="J49" i="37"/>
  <c r="K49" i="37"/>
  <c r="M49" i="37"/>
  <c r="K44" i="41"/>
  <c r="J44" i="41"/>
  <c r="N44" i="41"/>
  <c r="M44" i="41"/>
  <c r="L44" i="41"/>
  <c r="M46" i="41"/>
  <c r="L46" i="41"/>
  <c r="N46" i="41"/>
  <c r="J46" i="41"/>
  <c r="K46" i="41"/>
  <c r="J46" i="37"/>
  <c r="K46" i="37"/>
  <c r="N46" i="37"/>
  <c r="L46" i="37"/>
  <c r="M46" i="37"/>
  <c r="N48" i="37"/>
  <c r="K48" i="37"/>
  <c r="J48" i="37"/>
  <c r="M48" i="37"/>
  <c r="L48" i="37"/>
</calcChain>
</file>

<file path=xl/sharedStrings.xml><?xml version="1.0" encoding="utf-8"?>
<sst xmlns="http://schemas.openxmlformats.org/spreadsheetml/2006/main" count="2035" uniqueCount="201">
  <si>
    <t>TOTAL INCOME</t>
  </si>
  <si>
    <t>Quantity</t>
  </si>
  <si>
    <t>Units</t>
  </si>
  <si>
    <t>$/Unit</t>
  </si>
  <si>
    <t>Total</t>
  </si>
  <si>
    <t>Primary Commodity Sales</t>
  </si>
  <si>
    <t>Bushels</t>
  </si>
  <si>
    <t>Other Income</t>
  </si>
  <si>
    <t>Acre</t>
  </si>
  <si>
    <t>Total Revenue</t>
  </si>
  <si>
    <t>VARIABLE COSTS</t>
  </si>
  <si>
    <t>Production Costs</t>
  </si>
  <si>
    <t>Seed</t>
  </si>
  <si>
    <t>Fertilizer</t>
  </si>
  <si>
    <t>Chemicals</t>
  </si>
  <si>
    <t>Irrigation Costs</t>
  </si>
  <si>
    <t>Miscellaneous (Crop Insurance)</t>
  </si>
  <si>
    <t>Fuel</t>
  </si>
  <si>
    <t>Gallons</t>
  </si>
  <si>
    <t>Lube (As a % of fuel)</t>
  </si>
  <si>
    <t>Percent</t>
  </si>
  <si>
    <t>Repairs (excl' Harvest/Irr Eq)</t>
  </si>
  <si>
    <t>Labor</t>
  </si>
  <si>
    <t>Hours</t>
  </si>
  <si>
    <t>Custom Tillage Operations</t>
  </si>
  <si>
    <t>Custom Chemical Application</t>
  </si>
  <si>
    <t>Interest on Credit Line</t>
  </si>
  <si>
    <t>Harvest Costs</t>
  </si>
  <si>
    <t>Custom Operations/Applications</t>
  </si>
  <si>
    <t>Operator Harvested</t>
  </si>
  <si>
    <t>Labor/Fuel/Lube/Repairs/Chems</t>
  </si>
  <si>
    <t>Harvest Costs:</t>
  </si>
  <si>
    <t>Crop Share Rent</t>
  </si>
  <si>
    <t>Total Variable Costs</t>
  </si>
  <si>
    <t>Planned Returns Above Variable Costs:</t>
  </si>
  <si>
    <t>Breakeven Price to Cover Variable Costs</t>
  </si>
  <si>
    <t>FIXED COSTS</t>
  </si>
  <si>
    <t>Depreciation</t>
  </si>
  <si>
    <t>Insurance</t>
  </si>
  <si>
    <t>Taxes</t>
  </si>
  <si>
    <t>Cash Rent</t>
  </si>
  <si>
    <t>Perennial Crop Charge</t>
  </si>
  <si>
    <t>Other Overhead</t>
  </si>
  <si>
    <t>Other Fixed Costs</t>
  </si>
  <si>
    <t>Total Fixed Costs</t>
  </si>
  <si>
    <t>Total Costs</t>
  </si>
  <si>
    <t>Planned Returns to Management, Risk, and Profit:</t>
  </si>
  <si>
    <t xml:space="preserve">    Breakeven Price to Cover Total Costs</t>
  </si>
  <si>
    <t>acres / head</t>
  </si>
  <si>
    <t>price</t>
  </si>
  <si>
    <t>Machinery and Equip + Repairs</t>
  </si>
  <si>
    <t>Days</t>
  </si>
  <si>
    <t>ADG</t>
  </si>
  <si>
    <t>$/acre</t>
  </si>
  <si>
    <t>Early Grazing Phase</t>
  </si>
  <si>
    <t>Late Grazing Phase</t>
  </si>
  <si>
    <t>heads</t>
  </si>
  <si>
    <t>Wheat Grain</t>
  </si>
  <si>
    <t>Yield</t>
  </si>
  <si>
    <t>Date Early Grazing Phase Begins</t>
  </si>
  <si>
    <t>Price</t>
  </si>
  <si>
    <t xml:space="preserve">Harvest </t>
  </si>
  <si>
    <t>Indirect Costs</t>
  </si>
  <si>
    <t>Harvested Acreage</t>
  </si>
  <si>
    <t>Income Wheat</t>
  </si>
  <si>
    <t>Income Grazing</t>
  </si>
  <si>
    <t xml:space="preserve">TC Breakeven Price </t>
  </si>
  <si>
    <t>VC Breakeven Price</t>
  </si>
  <si>
    <t>Date Late Grazing Phase Begins</t>
  </si>
  <si>
    <t>% Harvested</t>
  </si>
  <si>
    <t>Lb/head</t>
  </si>
  <si>
    <t>Lb/Acre</t>
  </si>
  <si>
    <t>Total Income ($/Acre)</t>
  </si>
  <si>
    <t>Profit/Loss ($/Acre)</t>
  </si>
  <si>
    <t>Returns Above VC ($/Acre)</t>
  </si>
  <si>
    <t>Wheat ($/bu)</t>
  </si>
  <si>
    <t>Grazing ($/ Lb gained)</t>
  </si>
  <si>
    <t>Rolling Plains Irrigated Wheat</t>
  </si>
  <si>
    <t>Rolling Plains Wheat Grazing</t>
  </si>
  <si>
    <t>Rolling Plains Wheat Dual 800 Lb</t>
  </si>
  <si>
    <t>Rolling Plains Wheat Dual 700 Lb</t>
  </si>
  <si>
    <t>VC Breakeven Grazing Price</t>
  </si>
  <si>
    <t>TC Breakeven Grazing Price</t>
  </si>
  <si>
    <t>lb/acre</t>
  </si>
  <si>
    <t>Yield Wheat</t>
  </si>
  <si>
    <t>Yield Grazing (Lb/Acre)</t>
  </si>
  <si>
    <t>$/head</t>
  </si>
  <si>
    <t>Interest Rate</t>
  </si>
  <si>
    <t>Bu/Acre</t>
  </si>
  <si>
    <t>Pull Out Day</t>
  </si>
  <si>
    <t>Wheat Dual Stocker ~700 LB</t>
  </si>
  <si>
    <t>Wheat Dual Stocker ~800 LB</t>
  </si>
  <si>
    <t>Wheat Grazed Out</t>
  </si>
  <si>
    <t>Wheat Grain Dryland</t>
  </si>
  <si>
    <t>W Dual Stockers 700Lb</t>
  </si>
  <si>
    <t xml:space="preserve">W Dual Stockers 800 Lb </t>
  </si>
  <si>
    <t>Wheat Yields</t>
  </si>
  <si>
    <t>Early Grazing Phase Stocking Rate (Acres/Head)</t>
  </si>
  <si>
    <t>Early Grazing Phase ADG (Lbs./Day)</t>
  </si>
  <si>
    <t>Late Grazing Phase Stocking Rate (Acres/Head)</t>
  </si>
  <si>
    <t>Late Grazing Phase ADG (Lbs./Day)</t>
  </si>
  <si>
    <t>Stockers ~700 Lb</t>
  </si>
  <si>
    <t>Stockers ~800 Lb</t>
  </si>
  <si>
    <t>Lb Acre</t>
  </si>
  <si>
    <t>Grazing Early Phase</t>
  </si>
  <si>
    <t>Heads/Acre</t>
  </si>
  <si>
    <t>Acreade %</t>
  </si>
  <si>
    <t>Grazing $/Lb</t>
  </si>
  <si>
    <t>acres/head</t>
  </si>
  <si>
    <t>Lb per</t>
  </si>
  <si>
    <t>Wheat Farm Prices</t>
  </si>
  <si>
    <t>Equipment Investment</t>
  </si>
  <si>
    <t>Rolling Plains Wheat for Grain Production</t>
  </si>
  <si>
    <t>Cash Costs -  Sensitivity Analysis</t>
  </si>
  <si>
    <t>Prices</t>
  </si>
  <si>
    <t>Own Combine Harvest Cash Cost:</t>
  </si>
  <si>
    <t>Cash Costs -  Sensitivity Analysis - Owned Combine</t>
  </si>
  <si>
    <t xml:space="preserve">Profit/Loss ($/acre)  </t>
  </si>
  <si>
    <t>Cash Costs  - Owned Combine</t>
  </si>
  <si>
    <t>Machinery Investment</t>
  </si>
  <si>
    <t>Rolling Plains Chisholm Fescue</t>
  </si>
  <si>
    <t xml:space="preserve">Grazing </t>
  </si>
  <si>
    <t>total Lbs/acre</t>
  </si>
  <si>
    <t>Implantation Depreciation</t>
  </si>
  <si>
    <t>Chisholm Fescue</t>
  </si>
  <si>
    <t>2015-16</t>
  </si>
  <si>
    <t>2016-2017</t>
  </si>
  <si>
    <t>2017-2018</t>
  </si>
  <si>
    <t>2018-2019</t>
  </si>
  <si>
    <t>2019-2020</t>
  </si>
  <si>
    <t>May</t>
  </si>
  <si>
    <t>fescue</t>
  </si>
  <si>
    <t>wheat</t>
  </si>
  <si>
    <t>triticale</t>
  </si>
  <si>
    <t>1st</t>
  </si>
  <si>
    <t>2nd</t>
  </si>
  <si>
    <t>tota</t>
  </si>
  <si>
    <t>Triticale</t>
  </si>
  <si>
    <t>Fescue</t>
  </si>
  <si>
    <t>nov</t>
  </si>
  <si>
    <t>Income Stocker</t>
  </si>
  <si>
    <t>Income Grazing + Stocker</t>
  </si>
  <si>
    <t>Wheat  - Chisholm Fescue</t>
  </si>
  <si>
    <t>Wheat Acreage</t>
  </si>
  <si>
    <t>Production Costs Chisholm</t>
  </si>
  <si>
    <t>Production Costs Wheat</t>
  </si>
  <si>
    <t>Chisholm Fescue Acreage</t>
  </si>
  <si>
    <t>Triticale Acreage</t>
  </si>
  <si>
    <t>Production Triticale</t>
  </si>
  <si>
    <t>Wheat Graze Out Acreage</t>
  </si>
  <si>
    <t xml:space="preserve">Income Grazing </t>
  </si>
  <si>
    <t>IncomeStocker</t>
  </si>
  <si>
    <t>Wheat Prices</t>
  </si>
  <si>
    <t>$/Lb gained Prices</t>
  </si>
  <si>
    <t>Custom Fertilizer Application</t>
  </si>
  <si>
    <t>Wheat Price</t>
  </si>
  <si>
    <t>Wheat</t>
  </si>
  <si>
    <t xml:space="preserve">Wheat Grazed Out </t>
  </si>
  <si>
    <t>Total Pounds Gained per Acre (Lb/acre)</t>
  </si>
  <si>
    <t>Stockers ~700 Lb Assumptions</t>
  </si>
  <si>
    <t>Pound of Gain Price ($/Lb)</t>
  </si>
  <si>
    <t>ROI  - Wheat Dual Stocker ~700Lb</t>
  </si>
  <si>
    <t xml:space="preserve"> Grazing Price  ($/Lb of Gain) - Stocker ~700Lb</t>
  </si>
  <si>
    <t xml:space="preserve"> Grazing Price  ($/Lb of Gain) - Stocker ~800Lb</t>
  </si>
  <si>
    <t>ROI  - Wheat Dual Stocker ~800Lb</t>
  </si>
  <si>
    <t xml:space="preserve"> Grazing Price  ($/Lb of Gain) - Grazed Out</t>
  </si>
  <si>
    <t>ROI  -  Grazed Out</t>
  </si>
  <si>
    <t>ROI  - Wheat Grain</t>
  </si>
  <si>
    <t>bu/acre</t>
  </si>
  <si>
    <t xml:space="preserve"> Assumptions</t>
  </si>
  <si>
    <t>Grain</t>
  </si>
  <si>
    <t>Custom Harvest</t>
  </si>
  <si>
    <t>Wheat Bale Hay</t>
  </si>
  <si>
    <t>Yield Hay (Ton/acre)</t>
  </si>
  <si>
    <t>Custom Bale</t>
  </si>
  <si>
    <t>Yield 20 bu/acre</t>
  </si>
  <si>
    <t>Yield 30 bu/acre</t>
  </si>
  <si>
    <t>Yield 40 bu/acre</t>
  </si>
  <si>
    <t>Price ($/bu)</t>
  </si>
  <si>
    <t>custom Bale</t>
  </si>
  <si>
    <t>Custom Bale Cost ($/ton)</t>
  </si>
  <si>
    <t>Hay Production (% Total Biomass)</t>
  </si>
  <si>
    <t>Boot</t>
  </si>
  <si>
    <t>Heading</t>
  </si>
  <si>
    <t>Milk</t>
  </si>
  <si>
    <t>Dough</t>
  </si>
  <si>
    <t>Prices ($/ton)</t>
  </si>
  <si>
    <t>Ton/acre</t>
  </si>
  <si>
    <t>Cash Costs  - Owned Hay Equipment</t>
  </si>
  <si>
    <t>Francisco J. Abello</t>
  </si>
  <si>
    <t>Assistant Prof. &amp; Ext. Specialist </t>
  </si>
  <si>
    <t>Texas A&amp;M AgriLife Extension Service</t>
  </si>
  <si>
    <t>11708 Hwy 70 South. Vernon, Texas, 76384</t>
  </si>
  <si>
    <t xml:space="preserve">fjabello@tamu.edu </t>
  </si>
  <si>
    <t>Tel: (940) 647-3908</t>
  </si>
  <si>
    <t xml:space="preserve"> @AbelloPancho </t>
  </si>
  <si>
    <t>Wheat and Small Grains Decision Aids</t>
  </si>
  <si>
    <t>Price ($/ton)</t>
  </si>
  <si>
    <t>Stockers ~800 Lb - Graze Out Assumptions</t>
  </si>
  <si>
    <t>Cash Costs -  Owned Combine</t>
  </si>
  <si>
    <t>Last Update: 09-28-22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</si>
</sst>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3" formatCode="_(* #,##0.00_);_(* \(#,##0.00\);_(* &quot;-&quot;??_);_(@_)"/>
    <numFmt numFmtId="164" formatCode="#,##0.0"/>
    <numFmt numFmtId="165" formatCode="0.0"/>
    <numFmt numFmtId="166" formatCode="0.0%"/>
    <numFmt numFmtId="167" formatCode="_(* #,##0_);_(* \(#,##0\);_(* &quot;-&quot;??_);_(@_)"/>
    <numFmt numFmtId="168" formatCode="&quot;$&quot;#,##0.0_);\(&quot;$&quot;#,##0.0\)"/>
    <numFmt numFmtId="169" formatCode="&quot;$&quot;#,##0.0_);[Red]\(&quot;$&quot;#,##0.0\)"/>
    <numFmt numFmtId="170" formatCode="0.0000"/>
    <numFmt numFmtId="171" formatCode="0.000"/>
    <numFmt numFmtId="172" formatCode="_(* #,##0.0_);_(* \(#,##0.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Univers"/>
      <family val="2"/>
    </font>
    <font>
      <b/>
      <sz val="10"/>
      <name val="Univers"/>
      <family val="2"/>
    </font>
    <font>
      <sz val="10"/>
      <color indexed="39"/>
      <name val="Univers"/>
      <family val="2"/>
    </font>
    <font>
      <sz val="10"/>
      <color rgb="FF3333FF"/>
      <name val="Univers"/>
      <family val="2"/>
    </font>
    <font>
      <sz val="11"/>
      <color rgb="FF3333FF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1"/>
      <color rgb="FF3333FF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0"/>
      <color theme="1"/>
      <name val="Univers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ck">
        <color auto="1"/>
      </left>
      <right style="dotted">
        <color auto="1"/>
      </right>
      <top style="thick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ck">
        <color auto="1"/>
      </top>
      <bottom style="dotted">
        <color auto="1"/>
      </bottom>
      <diagonal/>
    </border>
    <border>
      <left style="dotted">
        <color auto="1"/>
      </left>
      <right style="thick">
        <color auto="1"/>
      </right>
      <top style="thick">
        <color auto="1"/>
      </top>
      <bottom style="dotted">
        <color auto="1"/>
      </bottom>
      <diagonal/>
    </border>
    <border>
      <left style="thick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dotted">
        <color auto="1"/>
      </right>
      <top style="dotted">
        <color auto="1"/>
      </top>
      <bottom style="thick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ck">
        <color auto="1"/>
      </bottom>
      <diagonal/>
    </border>
    <border>
      <left style="dotted">
        <color auto="1"/>
      </left>
      <right style="thick">
        <color auto="1"/>
      </right>
      <top style="dotted">
        <color auto="1"/>
      </top>
      <bottom style="thick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ck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auto="1"/>
      </bottom>
      <diagonal/>
    </border>
    <border>
      <left/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 style="thick">
        <color indexed="64"/>
      </right>
      <top/>
      <bottom style="hair">
        <color indexed="64"/>
      </bottom>
      <diagonal/>
    </border>
    <border>
      <left style="medium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ck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1">
    <xf numFmtId="0" fontId="0" fillId="0" borderId="0" xfId="0"/>
    <xf numFmtId="0" fontId="0" fillId="2" borderId="0" xfId="0" applyFill="1"/>
    <xf numFmtId="0" fontId="8" fillId="2" borderId="0" xfId="0" applyFont="1" applyFill="1"/>
    <xf numFmtId="0" fontId="3" fillId="2" borderId="0" xfId="0" applyFont="1" applyFill="1"/>
    <xf numFmtId="1" fontId="0" fillId="2" borderId="0" xfId="0" applyNumberFormat="1" applyFill="1"/>
    <xf numFmtId="8" fontId="0" fillId="2" borderId="0" xfId="0" applyNumberFormat="1" applyFill="1"/>
    <xf numFmtId="8" fontId="3" fillId="2" borderId="0" xfId="0" applyNumberFormat="1" applyFont="1" applyFill="1"/>
    <xf numFmtId="43" fontId="0" fillId="2" borderId="0" xfId="0" applyNumberFormat="1" applyFill="1"/>
    <xf numFmtId="43" fontId="0" fillId="2" borderId="0" xfId="1" applyFont="1" applyFill="1"/>
    <xf numFmtId="43" fontId="0" fillId="2" borderId="0" xfId="1" applyNumberFormat="1" applyFont="1" applyFill="1"/>
    <xf numFmtId="0" fontId="3" fillId="2" borderId="0" xfId="0" applyFont="1" applyFill="1" applyAlignment="1">
      <alignment horizontal="center"/>
    </xf>
    <xf numFmtId="0" fontId="0" fillId="2" borderId="6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0" xfId="0" applyFill="1" applyBorder="1"/>
    <xf numFmtId="0" fontId="0" fillId="2" borderId="3" xfId="0" applyFill="1" applyBorder="1"/>
    <xf numFmtId="43" fontId="0" fillId="2" borderId="11" xfId="0" applyNumberFormat="1" applyFill="1" applyBorder="1"/>
    <xf numFmtId="6" fontId="0" fillId="2" borderId="0" xfId="0" applyNumberFormat="1" applyFill="1"/>
    <xf numFmtId="0" fontId="0" fillId="2" borderId="13" xfId="0" applyFill="1" applyBorder="1"/>
    <xf numFmtId="167" fontId="8" fillId="2" borderId="13" xfId="1" applyNumberFormat="1" applyFont="1" applyFill="1" applyBorder="1"/>
    <xf numFmtId="0" fontId="4" fillId="2" borderId="0" xfId="0" applyFont="1" applyFill="1"/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8" fontId="4" fillId="2" borderId="0" xfId="0" applyNumberFormat="1" applyFont="1" applyFill="1"/>
    <xf numFmtId="0" fontId="6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8" fontId="4" fillId="2" borderId="2" xfId="0" applyNumberFormat="1" applyFont="1" applyFill="1" applyBorder="1"/>
    <xf numFmtId="8" fontId="7" fillId="2" borderId="0" xfId="0" applyNumberFormat="1" applyFont="1" applyFill="1" applyProtection="1">
      <protection locked="0"/>
    </xf>
    <xf numFmtId="166" fontId="6" fillId="2" borderId="0" xfId="0" applyNumberFormat="1" applyFont="1" applyFill="1" applyProtection="1">
      <protection locked="0"/>
    </xf>
    <xf numFmtId="8" fontId="4" fillId="2" borderId="3" xfId="0" applyNumberFormat="1" applyFont="1" applyFill="1" applyBorder="1"/>
    <xf numFmtId="8" fontId="4" fillId="2" borderId="4" xfId="0" applyNumberFormat="1" applyFont="1" applyFill="1" applyBorder="1"/>
    <xf numFmtId="8" fontId="4" fillId="2" borderId="5" xfId="0" applyNumberFormat="1" applyFont="1" applyFill="1" applyBorder="1"/>
    <xf numFmtId="8" fontId="4" fillId="2" borderId="0" xfId="0" applyNumberFormat="1" applyFont="1" applyFill="1" applyAlignment="1">
      <alignment horizontal="center"/>
    </xf>
    <xf numFmtId="0" fontId="4" fillId="2" borderId="2" xfId="0" applyFont="1" applyFill="1" applyBorder="1"/>
    <xf numFmtId="8" fontId="4" fillId="2" borderId="2" xfId="0" applyNumberFormat="1" applyFont="1" applyFill="1" applyBorder="1" applyAlignment="1">
      <alignment horizontal="center"/>
    </xf>
    <xf numFmtId="8" fontId="0" fillId="2" borderId="9" xfId="0" applyNumberFormat="1" applyFill="1" applyBorder="1"/>
    <xf numFmtId="8" fontId="9" fillId="2" borderId="9" xfId="0" applyNumberFormat="1" applyFont="1" applyFill="1" applyBorder="1"/>
    <xf numFmtId="0" fontId="3" fillId="2" borderId="8" xfId="0" applyFont="1" applyFill="1" applyBorder="1"/>
    <xf numFmtId="0" fontId="10" fillId="4" borderId="8" xfId="0" applyFont="1" applyFill="1" applyBorder="1"/>
    <xf numFmtId="7" fontId="10" fillId="4" borderId="9" xfId="0" applyNumberFormat="1" applyFont="1" applyFill="1" applyBorder="1"/>
    <xf numFmtId="0" fontId="10" fillId="4" borderId="10" xfId="0" applyFont="1" applyFill="1" applyBorder="1"/>
    <xf numFmtId="167" fontId="9" fillId="2" borderId="9" xfId="1" applyNumberFormat="1" applyFont="1" applyFill="1" applyBorder="1"/>
    <xf numFmtId="43" fontId="0" fillId="2" borderId="7" xfId="0" applyNumberFormat="1" applyFill="1" applyBorder="1"/>
    <xf numFmtId="0" fontId="3" fillId="2" borderId="0" xfId="0" applyFont="1" applyFill="1" applyBorder="1"/>
    <xf numFmtId="0" fontId="8" fillId="2" borderId="0" xfId="0" applyFont="1" applyFill="1" applyBorder="1"/>
    <xf numFmtId="43" fontId="9" fillId="2" borderId="9" xfId="0" applyNumberFormat="1" applyFont="1" applyFill="1" applyBorder="1"/>
    <xf numFmtId="9" fontId="9" fillId="2" borderId="9" xfId="2" applyFont="1" applyFill="1" applyBorder="1"/>
    <xf numFmtId="9" fontId="0" fillId="2" borderId="9" xfId="0" applyNumberFormat="1" applyFill="1" applyBorder="1"/>
    <xf numFmtId="9" fontId="0" fillId="2" borderId="0" xfId="0" applyNumberFormat="1" applyFill="1"/>
    <xf numFmtId="10" fontId="4" fillId="2" borderId="0" xfId="0" applyNumberFormat="1" applyFont="1" applyFill="1" applyProtection="1">
      <protection locked="0"/>
    </xf>
    <xf numFmtId="6" fontId="0" fillId="2" borderId="9" xfId="0" applyNumberFormat="1" applyFill="1" applyBorder="1"/>
    <xf numFmtId="0" fontId="10" fillId="4" borderId="0" xfId="0" applyFont="1" applyFill="1" applyBorder="1"/>
    <xf numFmtId="0" fontId="10" fillId="4" borderId="3" xfId="0" applyFont="1" applyFill="1" applyBorder="1"/>
    <xf numFmtId="6" fontId="10" fillId="4" borderId="9" xfId="0" applyNumberFormat="1" applyFont="1" applyFill="1" applyBorder="1"/>
    <xf numFmtId="6" fontId="9" fillId="2" borderId="9" xfId="0" applyNumberFormat="1" applyFont="1" applyFill="1" applyBorder="1"/>
    <xf numFmtId="6" fontId="3" fillId="2" borderId="9" xfId="0" applyNumberFormat="1" applyFont="1" applyFill="1" applyBorder="1"/>
    <xf numFmtId="0" fontId="3" fillId="5" borderId="17" xfId="0" applyFont="1" applyFill="1" applyBorder="1" applyAlignment="1">
      <alignment horizontal="center"/>
    </xf>
    <xf numFmtId="0" fontId="3" fillId="5" borderId="21" xfId="0" applyFont="1" applyFill="1" applyBorder="1" applyAlignment="1">
      <alignment horizontal="center"/>
    </xf>
    <xf numFmtId="1" fontId="3" fillId="5" borderId="21" xfId="0" applyNumberFormat="1" applyFont="1" applyFill="1" applyBorder="1" applyAlignment="1">
      <alignment horizontal="center"/>
    </xf>
    <xf numFmtId="3" fontId="0" fillId="2" borderId="18" xfId="1" applyNumberFormat="1" applyFont="1" applyFill="1" applyBorder="1"/>
    <xf numFmtId="3" fontId="0" fillId="2" borderId="19" xfId="1" applyNumberFormat="1" applyFont="1" applyFill="1" applyBorder="1"/>
    <xf numFmtId="3" fontId="0" fillId="2" borderId="20" xfId="1" applyNumberFormat="1" applyFont="1" applyFill="1" applyBorder="1"/>
    <xf numFmtId="1" fontId="3" fillId="5" borderId="25" xfId="0" applyNumberFormat="1" applyFont="1" applyFill="1" applyBorder="1" applyAlignment="1">
      <alignment horizontal="center"/>
    </xf>
    <xf numFmtId="3" fontId="0" fillId="2" borderId="26" xfId="1" applyNumberFormat="1" applyFont="1" applyFill="1" applyBorder="1"/>
    <xf numFmtId="3" fontId="0" fillId="2" borderId="13" xfId="1" applyNumberFormat="1" applyFont="1" applyFill="1" applyBorder="1"/>
    <xf numFmtId="3" fontId="0" fillId="2" borderId="27" xfId="1" applyNumberFormat="1" applyFont="1" applyFill="1" applyBorder="1"/>
    <xf numFmtId="1" fontId="3" fillId="5" borderId="28" xfId="0" applyNumberFormat="1" applyFont="1" applyFill="1" applyBorder="1" applyAlignment="1">
      <alignment horizontal="center"/>
    </xf>
    <xf numFmtId="3" fontId="0" fillId="2" borderId="22" xfId="1" applyNumberFormat="1" applyFont="1" applyFill="1" applyBorder="1"/>
    <xf numFmtId="3" fontId="0" fillId="2" borderId="23" xfId="1" applyNumberFormat="1" applyFont="1" applyFill="1" applyBorder="1"/>
    <xf numFmtId="3" fontId="0" fillId="2" borderId="24" xfId="1" applyNumberFormat="1" applyFont="1" applyFill="1" applyBorder="1"/>
    <xf numFmtId="165" fontId="3" fillId="6" borderId="22" xfId="0" applyNumberFormat="1" applyFont="1" applyFill="1" applyBorder="1" applyAlignment="1">
      <alignment horizontal="center"/>
    </xf>
    <xf numFmtId="165" fontId="3" fillId="6" borderId="23" xfId="0" applyNumberFormat="1" applyFont="1" applyFill="1" applyBorder="1" applyAlignment="1">
      <alignment horizontal="center"/>
    </xf>
    <xf numFmtId="165" fontId="3" fillId="6" borderId="24" xfId="0" applyNumberFormat="1" applyFont="1" applyFill="1" applyBorder="1" applyAlignment="1">
      <alignment horizontal="center"/>
    </xf>
    <xf numFmtId="168" fontId="10" fillId="4" borderId="9" xfId="0" applyNumberFormat="1" applyFont="1" applyFill="1" applyBorder="1"/>
    <xf numFmtId="168" fontId="0" fillId="2" borderId="9" xfId="0" applyNumberFormat="1" applyFill="1" applyBorder="1"/>
    <xf numFmtId="168" fontId="9" fillId="2" borderId="9" xfId="0" applyNumberFormat="1" applyFont="1" applyFill="1" applyBorder="1"/>
    <xf numFmtId="165" fontId="10" fillId="6" borderId="23" xfId="0" applyNumberFormat="1" applyFont="1" applyFill="1" applyBorder="1" applyAlignment="1">
      <alignment horizontal="center"/>
    </xf>
    <xf numFmtId="1" fontId="10" fillId="5" borderId="25" xfId="0" applyNumberFormat="1" applyFont="1" applyFill="1" applyBorder="1" applyAlignment="1">
      <alignment horizontal="center"/>
    </xf>
    <xf numFmtId="168" fontId="10" fillId="4" borderId="11" xfId="0" applyNumberFormat="1" applyFont="1" applyFill="1" applyBorder="1"/>
    <xf numFmtId="0" fontId="9" fillId="2" borderId="8" xfId="0" applyFont="1" applyFill="1" applyBorder="1"/>
    <xf numFmtId="0" fontId="9" fillId="2" borderId="0" xfId="0" applyFont="1" applyFill="1" applyBorder="1"/>
    <xf numFmtId="9" fontId="9" fillId="2" borderId="9" xfId="0" applyNumberFormat="1" applyFont="1" applyFill="1" applyBorder="1"/>
    <xf numFmtId="0" fontId="9" fillId="2" borderId="9" xfId="0" applyFont="1" applyFill="1" applyBorder="1"/>
    <xf numFmtId="0" fontId="10" fillId="2" borderId="8" xfId="0" applyFont="1" applyFill="1" applyBorder="1"/>
    <xf numFmtId="0" fontId="10" fillId="2" borderId="0" xfId="0" applyFont="1" applyFill="1" applyBorder="1"/>
    <xf numFmtId="6" fontId="10" fillId="2" borderId="9" xfId="0" applyNumberFormat="1" applyFont="1" applyFill="1" applyBorder="1"/>
    <xf numFmtId="2" fontId="10" fillId="6" borderId="23" xfId="0" applyNumberFormat="1" applyFont="1" applyFill="1" applyBorder="1" applyAlignment="1">
      <alignment horizontal="center"/>
    </xf>
    <xf numFmtId="3" fontId="0" fillId="2" borderId="0" xfId="1" applyNumberFormat="1" applyFont="1" applyFill="1" applyBorder="1"/>
    <xf numFmtId="1" fontId="3" fillId="2" borderId="0" xfId="0" applyNumberFormat="1" applyFont="1" applyFill="1" applyBorder="1" applyAlignment="1">
      <alignment horizontal="center"/>
    </xf>
    <xf numFmtId="0" fontId="11" fillId="2" borderId="0" xfId="0" applyFont="1" applyFill="1"/>
    <xf numFmtId="168" fontId="0" fillId="2" borderId="0" xfId="0" applyNumberFormat="1" applyFill="1"/>
    <xf numFmtId="168" fontId="9" fillId="2" borderId="7" xfId="0" applyNumberFormat="1" applyFont="1" applyFill="1" applyBorder="1"/>
    <xf numFmtId="168" fontId="9" fillId="2" borderId="11" xfId="0" applyNumberFormat="1" applyFont="1" applyFill="1" applyBorder="1"/>
    <xf numFmtId="5" fontId="10" fillId="4" borderId="9" xfId="0" applyNumberFormat="1" applyFont="1" applyFill="1" applyBorder="1"/>
    <xf numFmtId="5" fontId="10" fillId="4" borderId="11" xfId="0" applyNumberFormat="1" applyFont="1" applyFill="1" applyBorder="1"/>
    <xf numFmtId="5" fontId="9" fillId="2" borderId="9" xfId="0" applyNumberFormat="1" applyFont="1" applyFill="1" applyBorder="1"/>
    <xf numFmtId="5" fontId="0" fillId="2" borderId="9" xfId="0" applyNumberFormat="1" applyFill="1" applyBorder="1"/>
    <xf numFmtId="169" fontId="9" fillId="2" borderId="9" xfId="0" applyNumberFormat="1" applyFont="1" applyFill="1" applyBorder="1"/>
    <xf numFmtId="169" fontId="9" fillId="2" borderId="7" xfId="0" applyNumberFormat="1" applyFont="1" applyFill="1" applyBorder="1"/>
    <xf numFmtId="169" fontId="9" fillId="2" borderId="11" xfId="0" applyNumberFormat="1" applyFont="1" applyFill="1" applyBorder="1"/>
    <xf numFmtId="0" fontId="3" fillId="6" borderId="18" xfId="0" applyFont="1" applyFill="1" applyBorder="1" applyAlignment="1">
      <alignment horizontal="center"/>
    </xf>
    <xf numFmtId="0" fontId="3" fillId="6" borderId="19" xfId="0" applyFont="1" applyFill="1" applyBorder="1" applyAlignment="1">
      <alignment horizontal="center"/>
    </xf>
    <xf numFmtId="0" fontId="3" fillId="6" borderId="20" xfId="0" applyFont="1" applyFill="1" applyBorder="1" applyAlignment="1">
      <alignment horizontal="center"/>
    </xf>
    <xf numFmtId="0" fontId="3" fillId="6" borderId="18" xfId="0" applyFont="1" applyFill="1" applyBorder="1" applyAlignment="1">
      <alignment horizontal="center"/>
    </xf>
    <xf numFmtId="0" fontId="3" fillId="6" borderId="19" xfId="0" applyFont="1" applyFill="1" applyBorder="1" applyAlignment="1">
      <alignment horizontal="center"/>
    </xf>
    <xf numFmtId="0" fontId="3" fillId="6" borderId="20" xfId="0" applyFont="1" applyFill="1" applyBorder="1" applyAlignment="1">
      <alignment horizontal="center"/>
    </xf>
    <xf numFmtId="0" fontId="3" fillId="6" borderId="18" xfId="0" applyFont="1" applyFill="1" applyBorder="1" applyAlignment="1">
      <alignment horizontal="center"/>
    </xf>
    <xf numFmtId="0" fontId="3" fillId="6" borderId="19" xfId="0" applyFont="1" applyFill="1" applyBorder="1" applyAlignment="1">
      <alignment horizontal="center"/>
    </xf>
    <xf numFmtId="0" fontId="3" fillId="6" borderId="20" xfId="0" applyFont="1" applyFill="1" applyBorder="1" applyAlignment="1">
      <alignment horizontal="center"/>
    </xf>
    <xf numFmtId="2" fontId="0" fillId="0" borderId="0" xfId="0" applyNumberFormat="1"/>
    <xf numFmtId="1" fontId="3" fillId="5" borderId="32" xfId="0" applyNumberFormat="1" applyFont="1" applyFill="1" applyBorder="1" applyAlignment="1">
      <alignment horizontal="center"/>
    </xf>
    <xf numFmtId="1" fontId="3" fillId="5" borderId="33" xfId="0" applyNumberFormat="1" applyFont="1" applyFill="1" applyBorder="1" applyAlignment="1">
      <alignment horizontal="center"/>
    </xf>
    <xf numFmtId="1" fontId="10" fillId="5" borderId="33" xfId="0" applyNumberFormat="1" applyFont="1" applyFill="1" applyBorder="1" applyAlignment="1">
      <alignment horizontal="center"/>
    </xf>
    <xf numFmtId="1" fontId="3" fillId="5" borderId="34" xfId="0" applyNumberFormat="1" applyFont="1" applyFill="1" applyBorder="1" applyAlignment="1">
      <alignment horizontal="center"/>
    </xf>
    <xf numFmtId="165" fontId="3" fillId="6" borderId="35" xfId="0" applyNumberFormat="1" applyFont="1" applyFill="1" applyBorder="1" applyAlignment="1">
      <alignment horizontal="center"/>
    </xf>
    <xf numFmtId="165" fontId="3" fillId="6" borderId="36" xfId="0" applyNumberFormat="1" applyFont="1" applyFill="1" applyBorder="1" applyAlignment="1">
      <alignment horizontal="center"/>
    </xf>
    <xf numFmtId="165" fontId="10" fillId="6" borderId="36" xfId="0" applyNumberFormat="1" applyFont="1" applyFill="1" applyBorder="1" applyAlignment="1">
      <alignment horizontal="center"/>
    </xf>
    <xf numFmtId="165" fontId="3" fillId="6" borderId="37" xfId="0" applyNumberFormat="1" applyFont="1" applyFill="1" applyBorder="1" applyAlignment="1">
      <alignment horizontal="center"/>
    </xf>
    <xf numFmtId="3" fontId="0" fillId="2" borderId="6" xfId="1" applyNumberFormat="1" applyFont="1" applyFill="1" applyBorder="1"/>
    <xf numFmtId="3" fontId="0" fillId="2" borderId="12" xfId="1" applyNumberFormat="1" applyFont="1" applyFill="1" applyBorder="1"/>
    <xf numFmtId="3" fontId="0" fillId="2" borderId="7" xfId="1" applyNumberFormat="1" applyFont="1" applyFill="1" applyBorder="1"/>
    <xf numFmtId="3" fontId="0" fillId="2" borderId="8" xfId="1" applyNumberFormat="1" applyFont="1" applyFill="1" applyBorder="1"/>
    <xf numFmtId="3" fontId="0" fillId="2" borderId="9" xfId="1" applyNumberFormat="1" applyFont="1" applyFill="1" applyBorder="1"/>
    <xf numFmtId="3" fontId="0" fillId="2" borderId="10" xfId="1" applyNumberFormat="1" applyFont="1" applyFill="1" applyBorder="1"/>
    <xf numFmtId="3" fontId="0" fillId="2" borderId="3" xfId="1" applyNumberFormat="1" applyFont="1" applyFill="1" applyBorder="1"/>
    <xf numFmtId="3" fontId="0" fillId="2" borderId="11" xfId="1" applyNumberFormat="1" applyFont="1" applyFill="1" applyBorder="1"/>
    <xf numFmtId="167" fontId="0" fillId="0" borderId="0" xfId="1" applyNumberFormat="1" applyFont="1"/>
    <xf numFmtId="167" fontId="0" fillId="0" borderId="0" xfId="0" applyNumberFormat="1"/>
    <xf numFmtId="170" fontId="0" fillId="2" borderId="0" xfId="0" applyNumberFormat="1" applyFill="1"/>
    <xf numFmtId="3" fontId="0" fillId="2" borderId="39" xfId="1" applyNumberFormat="1" applyFont="1" applyFill="1" applyBorder="1"/>
    <xf numFmtId="3" fontId="0" fillId="2" borderId="40" xfId="1" applyNumberFormat="1" applyFont="1" applyFill="1" applyBorder="1"/>
    <xf numFmtId="3" fontId="0" fillId="2" borderId="36" xfId="1" applyNumberFormat="1" applyFont="1" applyFill="1" applyBorder="1"/>
    <xf numFmtId="3" fontId="0" fillId="2" borderId="41" xfId="1" applyNumberFormat="1" applyFont="1" applyFill="1" applyBorder="1"/>
    <xf numFmtId="3" fontId="0" fillId="2" borderId="38" xfId="1" applyNumberFormat="1" applyFont="1" applyFill="1" applyBorder="1"/>
    <xf numFmtId="3" fontId="0" fillId="2" borderId="33" xfId="1" applyNumberFormat="1" applyFont="1" applyFill="1" applyBorder="1"/>
    <xf numFmtId="3" fontId="0" fillId="2" borderId="42" xfId="1" applyNumberFormat="1" applyFont="1" applyFill="1" applyBorder="1"/>
    <xf numFmtId="3" fontId="0" fillId="2" borderId="43" xfId="1" applyNumberFormat="1" applyFont="1" applyFill="1" applyBorder="1"/>
    <xf numFmtId="3" fontId="0" fillId="2" borderId="44" xfId="1" applyNumberFormat="1" applyFont="1" applyFill="1" applyBorder="1"/>
    <xf numFmtId="3" fontId="0" fillId="2" borderId="45" xfId="1" applyNumberFormat="1" applyFont="1" applyFill="1" applyBorder="1"/>
    <xf numFmtId="3" fontId="0" fillId="2" borderId="46" xfId="1" applyNumberFormat="1" applyFont="1" applyFill="1" applyBorder="1"/>
    <xf numFmtId="3" fontId="0" fillId="2" borderId="47" xfId="1" applyNumberFormat="1" applyFont="1" applyFill="1" applyBorder="1"/>
    <xf numFmtId="3" fontId="0" fillId="2" borderId="48" xfId="1" applyNumberFormat="1" applyFont="1" applyFill="1" applyBorder="1"/>
    <xf numFmtId="3" fontId="0" fillId="2" borderId="49" xfId="1" applyNumberFormat="1" applyFont="1" applyFill="1" applyBorder="1"/>
    <xf numFmtId="3" fontId="0" fillId="2" borderId="50" xfId="1" applyNumberFormat="1" applyFont="1" applyFill="1" applyBorder="1"/>
    <xf numFmtId="3" fontId="0" fillId="2" borderId="51" xfId="1" applyNumberFormat="1" applyFont="1" applyFill="1" applyBorder="1"/>
    <xf numFmtId="3" fontId="0" fillId="2" borderId="52" xfId="1" applyNumberFormat="1" applyFont="1" applyFill="1" applyBorder="1"/>
    <xf numFmtId="3" fontId="0" fillId="2" borderId="53" xfId="1" applyNumberFormat="1" applyFont="1" applyFill="1" applyBorder="1"/>
    <xf numFmtId="3" fontId="0" fillId="2" borderId="54" xfId="1" applyNumberFormat="1" applyFont="1" applyFill="1" applyBorder="1"/>
    <xf numFmtId="3" fontId="0" fillId="2" borderId="55" xfId="1" applyNumberFormat="1" applyFont="1" applyFill="1" applyBorder="1"/>
    <xf numFmtId="3" fontId="0" fillId="2" borderId="56" xfId="1" applyNumberFormat="1" applyFont="1" applyFill="1" applyBorder="1"/>
    <xf numFmtId="3" fontId="0" fillId="2" borderId="57" xfId="1" applyNumberFormat="1" applyFont="1" applyFill="1" applyBorder="1"/>
    <xf numFmtId="0" fontId="0" fillId="7" borderId="8" xfId="0" applyFill="1" applyBorder="1"/>
    <xf numFmtId="0" fontId="0" fillId="7" borderId="0" xfId="0" applyFill="1" applyBorder="1"/>
    <xf numFmtId="8" fontId="0" fillId="7" borderId="9" xfId="0" applyNumberFormat="1" applyFill="1" applyBorder="1"/>
    <xf numFmtId="2" fontId="10" fillId="6" borderId="36" xfId="0" applyNumberFormat="1" applyFont="1" applyFill="1" applyBorder="1" applyAlignment="1">
      <alignment horizontal="center"/>
    </xf>
    <xf numFmtId="6" fontId="0" fillId="7" borderId="9" xfId="0" applyNumberFormat="1" applyFill="1" applyBorder="1"/>
    <xf numFmtId="0" fontId="9" fillId="8" borderId="8" xfId="0" applyFont="1" applyFill="1" applyBorder="1"/>
    <xf numFmtId="0" fontId="9" fillId="8" borderId="0" xfId="0" applyFont="1" applyFill="1" applyBorder="1"/>
    <xf numFmtId="6" fontId="9" fillId="8" borderId="9" xfId="0" applyNumberFormat="1" applyFont="1" applyFill="1" applyBorder="1"/>
    <xf numFmtId="0" fontId="0" fillId="8" borderId="0" xfId="0" applyFill="1"/>
    <xf numFmtId="0" fontId="0" fillId="8" borderId="8" xfId="0" applyFill="1" applyBorder="1"/>
    <xf numFmtId="0" fontId="0" fillId="8" borderId="0" xfId="0" applyFill="1" applyBorder="1"/>
    <xf numFmtId="6" fontId="0" fillId="8" borderId="9" xfId="0" applyNumberFormat="1" applyFill="1" applyBorder="1"/>
    <xf numFmtId="9" fontId="9" fillId="2" borderId="9" xfId="1" applyNumberFormat="1" applyFont="1" applyFill="1" applyBorder="1"/>
    <xf numFmtId="1" fontId="3" fillId="5" borderId="0" xfId="0" applyNumberFormat="1" applyFont="1" applyFill="1" applyBorder="1" applyAlignment="1">
      <alignment horizontal="center"/>
    </xf>
    <xf numFmtId="43" fontId="3" fillId="6" borderId="22" xfId="1" applyFont="1" applyFill="1" applyBorder="1" applyAlignment="1">
      <alignment horizontal="center"/>
    </xf>
    <xf numFmtId="43" fontId="3" fillId="6" borderId="23" xfId="1" applyFont="1" applyFill="1" applyBorder="1" applyAlignment="1">
      <alignment horizontal="center"/>
    </xf>
    <xf numFmtId="43" fontId="10" fillId="6" borderId="23" xfId="1" applyFont="1" applyFill="1" applyBorder="1" applyAlignment="1">
      <alignment horizontal="center"/>
    </xf>
    <xf numFmtId="43" fontId="3" fillId="6" borderId="24" xfId="1" applyFont="1" applyFill="1" applyBorder="1" applyAlignment="1">
      <alignment horizontal="center"/>
    </xf>
    <xf numFmtId="169" fontId="0" fillId="8" borderId="9" xfId="0" applyNumberFormat="1" applyFill="1" applyBorder="1"/>
    <xf numFmtId="0" fontId="3" fillId="6" borderId="18" xfId="0" applyFont="1" applyFill="1" applyBorder="1" applyAlignment="1">
      <alignment horizontal="center"/>
    </xf>
    <xf numFmtId="0" fontId="3" fillId="6" borderId="19" xfId="0" applyFont="1" applyFill="1" applyBorder="1" applyAlignment="1">
      <alignment horizontal="center"/>
    </xf>
    <xf numFmtId="0" fontId="3" fillId="6" borderId="20" xfId="0" applyFont="1" applyFill="1" applyBorder="1" applyAlignment="1">
      <alignment horizontal="center"/>
    </xf>
    <xf numFmtId="4" fontId="0" fillId="2" borderId="38" xfId="1" applyNumberFormat="1" applyFont="1" applyFill="1" applyBorder="1"/>
    <xf numFmtId="4" fontId="0" fillId="2" borderId="18" xfId="1" applyNumberFormat="1" applyFont="1" applyFill="1" applyBorder="1"/>
    <xf numFmtId="4" fontId="0" fillId="2" borderId="19" xfId="1" applyNumberFormat="1" applyFont="1" applyFill="1" applyBorder="1"/>
    <xf numFmtId="4" fontId="0" fillId="2" borderId="20" xfId="1" applyNumberFormat="1" applyFont="1" applyFill="1" applyBorder="1"/>
    <xf numFmtId="4" fontId="0" fillId="2" borderId="26" xfId="1" applyNumberFormat="1" applyFont="1" applyFill="1" applyBorder="1"/>
    <xf numFmtId="4" fontId="0" fillId="2" borderId="13" xfId="1" applyNumberFormat="1" applyFont="1" applyFill="1" applyBorder="1"/>
    <xf numFmtId="4" fontId="0" fillId="2" borderId="36" xfId="1" applyNumberFormat="1" applyFont="1" applyFill="1" applyBorder="1"/>
    <xf numFmtId="4" fontId="0" fillId="2" borderId="27" xfId="1" applyNumberFormat="1" applyFont="1" applyFill="1" applyBorder="1"/>
    <xf numFmtId="4" fontId="0" fillId="2" borderId="39" xfId="1" applyNumberFormat="1" applyFont="1" applyFill="1" applyBorder="1"/>
    <xf numFmtId="4" fontId="0" fillId="2" borderId="40" xfId="1" applyNumberFormat="1" applyFont="1" applyFill="1" applyBorder="1"/>
    <xf numFmtId="4" fontId="0" fillId="2" borderId="41" xfId="1" applyNumberFormat="1" applyFont="1" applyFill="1" applyBorder="1"/>
    <xf numFmtId="4" fontId="0" fillId="2" borderId="22" xfId="1" applyNumberFormat="1" applyFont="1" applyFill="1" applyBorder="1"/>
    <xf numFmtId="4" fontId="0" fillId="2" borderId="23" xfId="1" applyNumberFormat="1" applyFont="1" applyFill="1" applyBorder="1"/>
    <xf numFmtId="4" fontId="0" fillId="2" borderId="24" xfId="1" applyNumberFormat="1" applyFont="1" applyFill="1" applyBorder="1"/>
    <xf numFmtId="0" fontId="3" fillId="6" borderId="18" xfId="0" applyFont="1" applyFill="1" applyBorder="1" applyAlignment="1">
      <alignment horizontal="center"/>
    </xf>
    <xf numFmtId="0" fontId="3" fillId="6" borderId="19" xfId="0" applyFont="1" applyFill="1" applyBorder="1" applyAlignment="1">
      <alignment horizontal="center"/>
    </xf>
    <xf numFmtId="0" fontId="3" fillId="6" borderId="20" xfId="0" applyFont="1" applyFill="1" applyBorder="1" applyAlignment="1">
      <alignment horizontal="center"/>
    </xf>
    <xf numFmtId="0" fontId="0" fillId="2" borderId="60" xfId="0" applyFill="1" applyBorder="1"/>
    <xf numFmtId="1" fontId="0" fillId="2" borderId="61" xfId="0" applyNumberFormat="1" applyFill="1" applyBorder="1"/>
    <xf numFmtId="0" fontId="0" fillId="2" borderId="62" xfId="0" applyFill="1" applyBorder="1"/>
    <xf numFmtId="1" fontId="0" fillId="2" borderId="63" xfId="0" applyNumberFormat="1" applyFill="1" applyBorder="1"/>
    <xf numFmtId="9" fontId="0" fillId="2" borderId="18" xfId="2" applyFont="1" applyFill="1" applyBorder="1"/>
    <xf numFmtId="2" fontId="3" fillId="6" borderId="22" xfId="0" applyNumberFormat="1" applyFont="1" applyFill="1" applyBorder="1" applyAlignment="1">
      <alignment horizontal="center"/>
    </xf>
    <xf numFmtId="2" fontId="3" fillId="6" borderId="23" xfId="0" applyNumberFormat="1" applyFont="1" applyFill="1" applyBorder="1" applyAlignment="1">
      <alignment horizontal="center"/>
    </xf>
    <xf numFmtId="2" fontId="3" fillId="6" borderId="24" xfId="0" applyNumberFormat="1" applyFont="1" applyFill="1" applyBorder="1" applyAlignment="1">
      <alignment horizontal="center"/>
    </xf>
    <xf numFmtId="9" fontId="0" fillId="2" borderId="19" xfId="2" applyFont="1" applyFill="1" applyBorder="1"/>
    <xf numFmtId="9" fontId="0" fillId="2" borderId="20" xfId="2" applyFont="1" applyFill="1" applyBorder="1"/>
    <xf numFmtId="9" fontId="0" fillId="2" borderId="26" xfId="2" applyFont="1" applyFill="1" applyBorder="1"/>
    <xf numFmtId="9" fontId="0" fillId="2" borderId="13" xfId="2" applyFont="1" applyFill="1" applyBorder="1"/>
    <xf numFmtId="9" fontId="0" fillId="2" borderId="36" xfId="2" applyFont="1" applyFill="1" applyBorder="1"/>
    <xf numFmtId="9" fontId="0" fillId="2" borderId="27" xfId="2" applyFont="1" applyFill="1" applyBorder="1"/>
    <xf numFmtId="9" fontId="0" fillId="2" borderId="39" xfId="2" applyFont="1" applyFill="1" applyBorder="1"/>
    <xf numFmtId="9" fontId="0" fillId="2" borderId="38" xfId="2" applyFont="1" applyFill="1" applyBorder="1"/>
    <xf numFmtId="9" fontId="0" fillId="2" borderId="40" xfId="2" applyFont="1" applyFill="1" applyBorder="1"/>
    <xf numFmtId="9" fontId="0" fillId="2" borderId="41" xfId="2" applyFont="1" applyFill="1" applyBorder="1"/>
    <xf numFmtId="9" fontId="0" fillId="2" borderId="22" xfId="2" applyFont="1" applyFill="1" applyBorder="1"/>
    <xf numFmtId="9" fontId="0" fillId="2" borderId="23" xfId="2" applyFont="1" applyFill="1" applyBorder="1"/>
    <xf numFmtId="9" fontId="0" fillId="2" borderId="24" xfId="2" applyFont="1" applyFill="1" applyBorder="1"/>
    <xf numFmtId="2" fontId="3" fillId="7" borderId="23" xfId="0" applyNumberFormat="1" applyFont="1" applyFill="1" applyBorder="1" applyAlignment="1">
      <alignment horizontal="center"/>
    </xf>
    <xf numFmtId="165" fontId="10" fillId="7" borderId="23" xfId="0" applyNumberFormat="1" applyFont="1" applyFill="1" applyBorder="1" applyAlignment="1">
      <alignment horizontal="center"/>
    </xf>
    <xf numFmtId="1" fontId="10" fillId="7" borderId="25" xfId="0" applyNumberFormat="1" applyFont="1" applyFill="1" applyBorder="1" applyAlignment="1">
      <alignment horizontal="center"/>
    </xf>
    <xf numFmtId="1" fontId="10" fillId="2" borderId="9" xfId="0" applyNumberFormat="1" applyFont="1" applyFill="1" applyBorder="1"/>
    <xf numFmtId="1" fontId="3" fillId="2" borderId="0" xfId="0" applyNumberFormat="1" applyFont="1" applyFill="1" applyBorder="1" applyAlignment="1">
      <alignment horizontal="left"/>
    </xf>
    <xf numFmtId="0" fontId="3" fillId="5" borderId="68" xfId="0" applyFont="1" applyFill="1" applyBorder="1" applyAlignment="1">
      <alignment horizontal="center"/>
    </xf>
    <xf numFmtId="0" fontId="3" fillId="5" borderId="70" xfId="0" applyFont="1" applyFill="1" applyBorder="1" applyAlignment="1">
      <alignment horizontal="center"/>
    </xf>
    <xf numFmtId="165" fontId="3" fillId="6" borderId="65" xfId="0" applyNumberFormat="1" applyFont="1" applyFill="1" applyBorder="1" applyAlignment="1">
      <alignment horizontal="center"/>
    </xf>
    <xf numFmtId="1" fontId="3" fillId="5" borderId="70" xfId="0" applyNumberFormat="1" applyFont="1" applyFill="1" applyBorder="1" applyAlignment="1">
      <alignment horizontal="center"/>
    </xf>
    <xf numFmtId="4" fontId="0" fillId="2" borderId="64" xfId="1" applyNumberFormat="1" applyFont="1" applyFill="1" applyBorder="1"/>
    <xf numFmtId="1" fontId="3" fillId="5" borderId="71" xfId="0" applyNumberFormat="1" applyFont="1" applyFill="1" applyBorder="1" applyAlignment="1">
      <alignment horizontal="center"/>
    </xf>
    <xf numFmtId="4" fontId="0" fillId="2" borderId="61" xfId="1" applyNumberFormat="1" applyFont="1" applyFill="1" applyBorder="1"/>
    <xf numFmtId="1" fontId="3" fillId="5" borderId="72" xfId="0" applyNumberFormat="1" applyFont="1" applyFill="1" applyBorder="1" applyAlignment="1">
      <alignment horizontal="center"/>
    </xf>
    <xf numFmtId="4" fontId="0" fillId="2" borderId="73" xfId="1" applyNumberFormat="1" applyFont="1" applyFill="1" applyBorder="1"/>
    <xf numFmtId="4" fontId="0" fillId="2" borderId="74" xfId="1" applyNumberFormat="1" applyFont="1" applyFill="1" applyBorder="1"/>
    <xf numFmtId="4" fontId="0" fillId="2" borderId="75" xfId="1" applyNumberFormat="1" applyFont="1" applyFill="1" applyBorder="1"/>
    <xf numFmtId="4" fontId="0" fillId="2" borderId="63" xfId="1" applyNumberFormat="1" applyFont="1" applyFill="1" applyBorder="1"/>
    <xf numFmtId="3" fontId="0" fillId="2" borderId="0" xfId="0" applyNumberFormat="1" applyFill="1"/>
    <xf numFmtId="0" fontId="2" fillId="3" borderId="58" xfId="0" applyFont="1" applyFill="1" applyBorder="1" applyAlignment="1">
      <alignment horizontal="center"/>
    </xf>
    <xf numFmtId="0" fontId="2" fillId="3" borderId="59" xfId="0" applyFont="1" applyFill="1" applyBorder="1" applyAlignment="1">
      <alignment horizontal="center"/>
    </xf>
    <xf numFmtId="1" fontId="2" fillId="3" borderId="77" xfId="0" applyNumberFormat="1" applyFont="1" applyFill="1" applyBorder="1" applyAlignment="1">
      <alignment horizontal="center"/>
    </xf>
    <xf numFmtId="1" fontId="3" fillId="5" borderId="78" xfId="0" applyNumberFormat="1" applyFont="1" applyFill="1" applyBorder="1" applyAlignment="1">
      <alignment horizontal="center"/>
    </xf>
    <xf numFmtId="1" fontId="3" fillId="5" borderId="79" xfId="0" applyNumberFormat="1" applyFont="1" applyFill="1" applyBorder="1" applyAlignment="1">
      <alignment horizontal="center"/>
    </xf>
    <xf numFmtId="1" fontId="10" fillId="5" borderId="79" xfId="0" applyNumberFormat="1" applyFont="1" applyFill="1" applyBorder="1" applyAlignment="1">
      <alignment horizontal="center"/>
    </xf>
    <xf numFmtId="1" fontId="3" fillId="5" borderId="80" xfId="0" applyNumberFormat="1" applyFont="1" applyFill="1" applyBorder="1" applyAlignment="1">
      <alignment horizontal="center"/>
    </xf>
    <xf numFmtId="3" fontId="2" fillId="3" borderId="76" xfId="1" applyNumberFormat="1" applyFont="1" applyFill="1" applyBorder="1" applyAlignment="1">
      <alignment horizontal="center"/>
    </xf>
    <xf numFmtId="0" fontId="2" fillId="3" borderId="77" xfId="0" applyFont="1" applyFill="1" applyBorder="1" applyAlignment="1">
      <alignment horizontal="center"/>
    </xf>
    <xf numFmtId="167" fontId="8" fillId="2" borderId="0" xfId="1" applyNumberFormat="1" applyFont="1" applyFill="1" applyBorder="1"/>
    <xf numFmtId="0" fontId="0" fillId="2" borderId="81" xfId="0" applyFill="1" applyBorder="1"/>
    <xf numFmtId="167" fontId="8" fillId="2" borderId="82" xfId="1" applyNumberFormat="1" applyFont="1" applyFill="1" applyBorder="1"/>
    <xf numFmtId="172" fontId="9" fillId="2" borderId="9" xfId="1" applyNumberFormat="1" applyFont="1" applyFill="1" applyBorder="1"/>
    <xf numFmtId="167" fontId="9" fillId="2" borderId="9" xfId="0" applyNumberFormat="1" applyFont="1" applyFill="1" applyBorder="1"/>
    <xf numFmtId="6" fontId="9" fillId="2" borderId="7" xfId="0" applyNumberFormat="1" applyFont="1" applyFill="1" applyBorder="1"/>
    <xf numFmtId="6" fontId="9" fillId="2" borderId="11" xfId="0" applyNumberFormat="1" applyFont="1" applyFill="1" applyBorder="1"/>
    <xf numFmtId="1" fontId="3" fillId="6" borderId="22" xfId="0" applyNumberFormat="1" applyFont="1" applyFill="1" applyBorder="1" applyAlignment="1">
      <alignment horizontal="center"/>
    </xf>
    <xf numFmtId="1" fontId="3" fillId="6" borderId="23" xfId="0" applyNumberFormat="1" applyFont="1" applyFill="1" applyBorder="1" applyAlignment="1">
      <alignment horizontal="center"/>
    </xf>
    <xf numFmtId="1" fontId="10" fillId="6" borderId="23" xfId="0" applyNumberFormat="1" applyFont="1" applyFill="1" applyBorder="1" applyAlignment="1">
      <alignment horizontal="center"/>
    </xf>
    <xf numFmtId="1" fontId="3" fillId="6" borderId="24" xfId="0" applyNumberFormat="1" applyFont="1" applyFill="1" applyBorder="1" applyAlignment="1">
      <alignment horizontal="center"/>
    </xf>
    <xf numFmtId="167" fontId="0" fillId="2" borderId="0" xfId="1" applyNumberFormat="1" applyFont="1" applyFill="1"/>
    <xf numFmtId="167" fontId="0" fillId="2" borderId="0" xfId="0" applyNumberFormat="1" applyFill="1"/>
    <xf numFmtId="0" fontId="3" fillId="5" borderId="76" xfId="0" applyFont="1" applyFill="1" applyBorder="1" applyAlignment="1">
      <alignment horizontal="center"/>
    </xf>
    <xf numFmtId="0" fontId="3" fillId="5" borderId="78" xfId="0" applyFont="1" applyFill="1" applyBorder="1" applyAlignment="1">
      <alignment horizontal="center"/>
    </xf>
    <xf numFmtId="43" fontId="10" fillId="5" borderId="79" xfId="1" applyFont="1" applyFill="1" applyBorder="1" applyAlignment="1">
      <alignment horizontal="center"/>
    </xf>
    <xf numFmtId="43" fontId="10" fillId="5" borderId="80" xfId="1" applyFont="1" applyFill="1" applyBorder="1" applyAlignment="1">
      <alignment horizontal="center"/>
    </xf>
    <xf numFmtId="1" fontId="3" fillId="6" borderId="62" xfId="0" applyNumberFormat="1" applyFont="1" applyFill="1" applyBorder="1" applyAlignment="1">
      <alignment horizontal="center"/>
    </xf>
    <xf numFmtId="1" fontId="3" fillId="6" borderId="86" xfId="0" applyNumberFormat="1" applyFont="1" applyFill="1" applyBorder="1" applyAlignment="1">
      <alignment horizontal="center"/>
    </xf>
    <xf numFmtId="1" fontId="10" fillId="6" borderId="86" xfId="0" applyNumberFormat="1" applyFont="1" applyFill="1" applyBorder="1" applyAlignment="1">
      <alignment horizontal="center"/>
    </xf>
    <xf numFmtId="1" fontId="3" fillId="6" borderId="63" xfId="0" applyNumberFormat="1" applyFont="1" applyFill="1" applyBorder="1" applyAlignment="1">
      <alignment horizontal="center"/>
    </xf>
    <xf numFmtId="165" fontId="3" fillId="5" borderId="21" xfId="0" applyNumberFormat="1" applyFont="1" applyFill="1" applyBorder="1" applyAlignment="1">
      <alignment horizontal="center"/>
    </xf>
    <xf numFmtId="165" fontId="3" fillId="5" borderId="25" xfId="0" applyNumberFormat="1" applyFont="1" applyFill="1" applyBorder="1" applyAlignment="1">
      <alignment horizontal="center"/>
    </xf>
    <xf numFmtId="165" fontId="10" fillId="5" borderId="25" xfId="0" applyNumberFormat="1" applyFont="1" applyFill="1" applyBorder="1" applyAlignment="1">
      <alignment horizontal="center"/>
    </xf>
    <xf numFmtId="165" fontId="3" fillId="5" borderId="28" xfId="0" applyNumberFormat="1" applyFont="1" applyFill="1" applyBorder="1" applyAlignment="1">
      <alignment horizontal="center"/>
    </xf>
    <xf numFmtId="167" fontId="8" fillId="2" borderId="61" xfId="1" applyNumberFormat="1" applyFont="1" applyFill="1" applyBorder="1" applyProtection="1">
      <protection locked="0"/>
    </xf>
    <xf numFmtId="167" fontId="8" fillId="2" borderId="63" xfId="1" applyNumberFormat="1" applyFont="1" applyFill="1" applyBorder="1" applyProtection="1">
      <protection locked="0"/>
    </xf>
    <xf numFmtId="43" fontId="8" fillId="2" borderId="61" xfId="1" applyNumberFormat="1" applyFont="1" applyFill="1" applyBorder="1" applyProtection="1">
      <protection locked="0"/>
    </xf>
    <xf numFmtId="43" fontId="8" fillId="2" borderId="63" xfId="1" applyNumberFormat="1" applyFont="1" applyFill="1" applyBorder="1" applyProtection="1">
      <protection locked="0"/>
    </xf>
    <xf numFmtId="16" fontId="8" fillId="2" borderId="61" xfId="0" applyNumberFormat="1" applyFont="1" applyFill="1" applyBorder="1" applyProtection="1">
      <protection locked="0"/>
    </xf>
    <xf numFmtId="0" fontId="8" fillId="2" borderId="61" xfId="0" applyFont="1" applyFill="1" applyBorder="1" applyProtection="1">
      <protection locked="0"/>
    </xf>
    <xf numFmtId="0" fontId="8" fillId="2" borderId="63" xfId="0" applyFont="1" applyFill="1" applyBorder="1" applyProtection="1">
      <protection locked="0"/>
    </xf>
    <xf numFmtId="16" fontId="8" fillId="2" borderId="63" xfId="0" applyNumberFormat="1" applyFont="1" applyFill="1" applyBorder="1" applyProtection="1">
      <protection locked="0"/>
    </xf>
    <xf numFmtId="10" fontId="8" fillId="2" borderId="13" xfId="2" applyNumberFormat="1" applyFont="1" applyFill="1" applyBorder="1" applyProtection="1">
      <protection locked="0"/>
    </xf>
    <xf numFmtId="43" fontId="8" fillId="2" borderId="13" xfId="1" applyFont="1" applyFill="1" applyBorder="1" applyProtection="1">
      <protection locked="0"/>
    </xf>
    <xf numFmtId="9" fontId="8" fillId="2" borderId="13" xfId="2" applyNumberFormat="1" applyFont="1" applyFill="1" applyBorder="1" applyProtection="1">
      <protection locked="0"/>
    </xf>
    <xf numFmtId="0" fontId="11" fillId="2" borderId="0" xfId="0" applyFont="1" applyFill="1" applyProtection="1">
      <protection locked="0"/>
    </xf>
    <xf numFmtId="165" fontId="3" fillId="5" borderId="32" xfId="0" applyNumberFormat="1" applyFont="1" applyFill="1" applyBorder="1" applyAlignment="1">
      <alignment horizontal="center"/>
    </xf>
    <xf numFmtId="165" fontId="3" fillId="5" borderId="33" xfId="0" applyNumberFormat="1" applyFont="1" applyFill="1" applyBorder="1" applyAlignment="1">
      <alignment horizontal="center"/>
    </xf>
    <xf numFmtId="165" fontId="10" fillId="5" borderId="33" xfId="0" applyNumberFormat="1" applyFont="1" applyFill="1" applyBorder="1" applyAlignment="1">
      <alignment horizontal="center"/>
    </xf>
    <xf numFmtId="165" fontId="3" fillId="5" borderId="34" xfId="0" applyNumberFormat="1" applyFont="1" applyFill="1" applyBorder="1" applyAlignment="1">
      <alignment horizontal="center"/>
    </xf>
    <xf numFmtId="1" fontId="3" fillId="6" borderId="35" xfId="0" applyNumberFormat="1" applyFont="1" applyFill="1" applyBorder="1" applyAlignment="1">
      <alignment horizontal="center"/>
    </xf>
    <xf numFmtId="1" fontId="3" fillId="6" borderId="36" xfId="0" applyNumberFormat="1" applyFont="1" applyFill="1" applyBorder="1" applyAlignment="1">
      <alignment horizontal="center"/>
    </xf>
    <xf numFmtId="1" fontId="10" fillId="6" borderId="36" xfId="0" applyNumberFormat="1" applyFont="1" applyFill="1" applyBorder="1" applyAlignment="1">
      <alignment horizontal="center"/>
    </xf>
    <xf numFmtId="1" fontId="3" fillId="6" borderId="37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" fontId="12" fillId="5" borderId="21" xfId="0" applyNumberFormat="1" applyFont="1" applyFill="1" applyBorder="1" applyAlignment="1" applyProtection="1">
      <alignment horizontal="center"/>
      <protection locked="0"/>
    </xf>
    <xf numFmtId="1" fontId="12" fillId="5" borderId="25" xfId="0" applyNumberFormat="1" applyFont="1" applyFill="1" applyBorder="1" applyAlignment="1" applyProtection="1">
      <alignment horizontal="center"/>
      <protection locked="0"/>
    </xf>
    <xf numFmtId="1" fontId="12" fillId="5" borderId="28" xfId="0" applyNumberFormat="1" applyFont="1" applyFill="1" applyBorder="1" applyAlignment="1" applyProtection="1">
      <alignment horizontal="center"/>
      <protection locked="0"/>
    </xf>
    <xf numFmtId="0" fontId="14" fillId="2" borderId="0" xfId="0" applyFont="1" applyFill="1"/>
    <xf numFmtId="164" fontId="14" fillId="2" borderId="0" xfId="0" applyNumberFormat="1" applyFont="1" applyFill="1" applyProtection="1">
      <protection locked="0"/>
    </xf>
    <xf numFmtId="0" fontId="14" fillId="2" borderId="0" xfId="0" applyFont="1" applyFill="1" applyAlignment="1" applyProtection="1">
      <alignment horizontal="center"/>
      <protection locked="0"/>
    </xf>
    <xf numFmtId="43" fontId="14" fillId="2" borderId="0" xfId="0" applyNumberFormat="1" applyFont="1" applyFill="1" applyProtection="1">
      <protection locked="0"/>
    </xf>
    <xf numFmtId="8" fontId="14" fillId="2" borderId="0" xfId="0" applyNumberFormat="1" applyFont="1" applyFill="1"/>
    <xf numFmtId="0" fontId="14" fillId="2" borderId="0" xfId="0" applyFont="1" applyFill="1" applyProtection="1">
      <protection locked="0"/>
    </xf>
    <xf numFmtId="8" fontId="14" fillId="2" borderId="0" xfId="0" applyNumberFormat="1" applyFont="1" applyFill="1" applyProtection="1">
      <protection locked="0"/>
    </xf>
    <xf numFmtId="8" fontId="14" fillId="2" borderId="2" xfId="0" applyNumberFormat="1" applyFont="1" applyFill="1" applyBorder="1"/>
    <xf numFmtId="165" fontId="7" fillId="2" borderId="0" xfId="0" applyNumberFormat="1" applyFont="1" applyFill="1" applyProtection="1">
      <protection locked="0"/>
    </xf>
    <xf numFmtId="0" fontId="7" fillId="2" borderId="0" xfId="0" applyFont="1" applyFill="1" applyProtection="1">
      <protection locked="0"/>
    </xf>
    <xf numFmtId="0" fontId="4" fillId="2" borderId="0" xfId="0" applyFont="1" applyFill="1" applyProtection="1"/>
    <xf numFmtId="0" fontId="5" fillId="2" borderId="0" xfId="0" applyFont="1" applyFill="1" applyProtection="1"/>
    <xf numFmtId="0" fontId="4" fillId="2" borderId="0" xfId="0" applyFont="1" applyFill="1" applyAlignment="1" applyProtection="1">
      <alignment horizontal="center"/>
    </xf>
    <xf numFmtId="0" fontId="0" fillId="2" borderId="0" xfId="0" applyFill="1" applyProtection="1"/>
    <xf numFmtId="0" fontId="4" fillId="2" borderId="1" xfId="0" applyFont="1" applyFill="1" applyBorder="1" applyProtection="1"/>
    <xf numFmtId="0" fontId="4" fillId="2" borderId="1" xfId="0" applyFont="1" applyFill="1" applyBorder="1" applyAlignment="1" applyProtection="1">
      <alignment horizontal="center"/>
    </xf>
    <xf numFmtId="0" fontId="14" fillId="2" borderId="0" xfId="0" applyFont="1" applyFill="1" applyProtection="1"/>
    <xf numFmtId="164" fontId="14" fillId="2" borderId="0" xfId="0" applyNumberFormat="1" applyFont="1" applyFill="1" applyProtection="1"/>
    <xf numFmtId="0" fontId="14" fillId="2" borderId="0" xfId="0" applyFont="1" applyFill="1" applyAlignment="1" applyProtection="1">
      <alignment horizontal="center"/>
    </xf>
    <xf numFmtId="43" fontId="14" fillId="2" borderId="0" xfId="0" applyNumberFormat="1" applyFont="1" applyFill="1" applyProtection="1"/>
    <xf numFmtId="8" fontId="14" fillId="2" borderId="0" xfId="0" applyNumberFormat="1" applyFont="1" applyFill="1" applyProtection="1"/>
    <xf numFmtId="1" fontId="14" fillId="2" borderId="0" xfId="0" applyNumberFormat="1" applyFont="1" applyFill="1" applyProtection="1"/>
    <xf numFmtId="1" fontId="0" fillId="2" borderId="0" xfId="0" applyNumberFormat="1" applyFill="1" applyProtection="1"/>
    <xf numFmtId="43" fontId="0" fillId="2" borderId="0" xfId="0" applyNumberFormat="1" applyFill="1" applyProtection="1"/>
    <xf numFmtId="8" fontId="14" fillId="2" borderId="2" xfId="0" applyNumberFormat="1" applyFont="1" applyFill="1" applyBorder="1" applyProtection="1"/>
    <xf numFmtId="0" fontId="4" fillId="2" borderId="0" xfId="0" applyFont="1" applyFill="1" applyBorder="1" applyProtection="1"/>
    <xf numFmtId="8" fontId="4" fillId="2" borderId="0" xfId="0" applyNumberFormat="1" applyFont="1" applyFill="1" applyBorder="1" applyProtection="1"/>
    <xf numFmtId="0" fontId="0" fillId="7" borderId="0" xfId="0" applyFill="1" applyProtection="1"/>
    <xf numFmtId="8" fontId="7" fillId="2" borderId="0" xfId="0" applyNumberFormat="1" applyFont="1" applyFill="1" applyProtection="1"/>
    <xf numFmtId="8" fontId="4" fillId="2" borderId="0" xfId="0" applyNumberFormat="1" applyFont="1" applyFill="1" applyProtection="1"/>
    <xf numFmtId="10" fontId="4" fillId="2" borderId="0" xfId="0" applyNumberFormat="1" applyFont="1" applyFill="1" applyProtection="1"/>
    <xf numFmtId="8" fontId="4" fillId="2" borderId="3" xfId="0" applyNumberFormat="1" applyFont="1" applyFill="1" applyBorder="1" applyProtection="1"/>
    <xf numFmtId="8" fontId="0" fillId="2" borderId="0" xfId="0" applyNumberFormat="1" applyFill="1" applyProtection="1"/>
    <xf numFmtId="0" fontId="7" fillId="2" borderId="0" xfId="0" applyFont="1" applyFill="1" applyProtection="1"/>
    <xf numFmtId="8" fontId="4" fillId="2" borderId="4" xfId="0" applyNumberFormat="1" applyFont="1" applyFill="1" applyBorder="1" applyProtection="1"/>
    <xf numFmtId="8" fontId="4" fillId="2" borderId="5" xfId="0" applyNumberFormat="1" applyFont="1" applyFill="1" applyBorder="1" applyProtection="1"/>
    <xf numFmtId="8" fontId="4" fillId="2" borderId="2" xfId="0" applyNumberFormat="1" applyFont="1" applyFill="1" applyBorder="1" applyProtection="1"/>
    <xf numFmtId="8" fontId="4" fillId="2" borderId="0" xfId="0" applyNumberFormat="1" applyFont="1" applyFill="1" applyAlignment="1" applyProtection="1">
      <alignment horizontal="center"/>
    </xf>
    <xf numFmtId="0" fontId="6" fillId="2" borderId="0" xfId="0" applyFont="1" applyFill="1" applyProtection="1"/>
    <xf numFmtId="0" fontId="4" fillId="2" borderId="2" xfId="0" applyFont="1" applyFill="1" applyBorder="1" applyProtection="1"/>
    <xf numFmtId="8" fontId="4" fillId="2" borderId="2" xfId="0" applyNumberFormat="1" applyFont="1" applyFill="1" applyBorder="1" applyAlignment="1" applyProtection="1">
      <alignment horizontal="center"/>
    </xf>
    <xf numFmtId="166" fontId="7" fillId="2" borderId="0" xfId="0" applyNumberFormat="1" applyFont="1" applyFill="1" applyProtection="1">
      <protection locked="0"/>
    </xf>
    <xf numFmtId="0" fontId="4" fillId="2" borderId="0" xfId="0" applyFont="1" applyFill="1" applyBorder="1" applyAlignment="1" applyProtection="1">
      <alignment horizontal="center"/>
    </xf>
    <xf numFmtId="9" fontId="0" fillId="2" borderId="0" xfId="2" applyFont="1" applyFill="1" applyProtection="1"/>
    <xf numFmtId="165" fontId="0" fillId="2" borderId="0" xfId="0" applyNumberFormat="1" applyFill="1" applyProtection="1"/>
    <xf numFmtId="2" fontId="0" fillId="2" borderId="0" xfId="0" applyNumberFormat="1" applyFill="1" applyProtection="1"/>
    <xf numFmtId="171" fontId="3" fillId="6" borderId="22" xfId="0" applyNumberFormat="1" applyFont="1" applyFill="1" applyBorder="1" applyAlignment="1" applyProtection="1">
      <alignment horizontal="center"/>
    </xf>
    <xf numFmtId="0" fontId="0" fillId="8" borderId="0" xfId="0" applyFill="1" applyProtection="1"/>
    <xf numFmtId="0" fontId="7" fillId="2" borderId="0" xfId="0" applyFont="1" applyFill="1" applyAlignment="1" applyProtection="1">
      <alignment horizontal="center"/>
      <protection locked="0"/>
    </xf>
    <xf numFmtId="164" fontId="4" fillId="2" borderId="0" xfId="0" applyNumberFormat="1" applyFont="1" applyFill="1" applyProtection="1"/>
    <xf numFmtId="43" fontId="4" fillId="2" borderId="0" xfId="0" applyNumberFormat="1" applyFont="1" applyFill="1" applyProtection="1"/>
    <xf numFmtId="9" fontId="0" fillId="2" borderId="0" xfId="0" applyNumberFormat="1" applyFill="1" applyProtection="1"/>
    <xf numFmtId="1" fontId="4" fillId="2" borderId="0" xfId="0" applyNumberFormat="1" applyFont="1" applyFill="1" applyProtection="1"/>
    <xf numFmtId="0" fontId="6" fillId="2" borderId="0" xfId="0" applyFont="1" applyFill="1" applyAlignment="1" applyProtection="1">
      <alignment horizontal="center"/>
    </xf>
    <xf numFmtId="43" fontId="6" fillId="2" borderId="0" xfId="0" applyNumberFormat="1" applyFont="1" applyFill="1" applyProtection="1"/>
    <xf numFmtId="14" fontId="0" fillId="2" borderId="0" xfId="0" applyNumberFormat="1" applyFill="1" applyProtection="1"/>
    <xf numFmtId="43" fontId="0" fillId="2" borderId="0" xfId="1" applyFont="1" applyFill="1" applyProtection="1"/>
    <xf numFmtId="0" fontId="1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3" borderId="58" xfId="0" applyFont="1" applyFill="1" applyBorder="1" applyAlignment="1">
      <alignment horizontal="center"/>
    </xf>
    <xf numFmtId="0" fontId="2" fillId="3" borderId="59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3" fillId="6" borderId="18" xfId="0" applyFont="1" applyFill="1" applyBorder="1" applyAlignment="1">
      <alignment horizontal="center"/>
    </xf>
    <xf numFmtId="0" fontId="3" fillId="6" borderId="19" xfId="0" applyFont="1" applyFill="1" applyBorder="1" applyAlignment="1">
      <alignment horizontal="center"/>
    </xf>
    <xf numFmtId="0" fontId="3" fillId="6" borderId="20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6" borderId="29" xfId="0" applyFont="1" applyFill="1" applyBorder="1" applyAlignment="1">
      <alignment horizontal="center"/>
    </xf>
    <xf numFmtId="0" fontId="3" fillId="6" borderId="30" xfId="0" applyFont="1" applyFill="1" applyBorder="1" applyAlignment="1">
      <alignment horizontal="center"/>
    </xf>
    <xf numFmtId="0" fontId="3" fillId="6" borderId="31" xfId="0" applyFont="1" applyFill="1" applyBorder="1" applyAlignment="1">
      <alignment horizontal="center"/>
    </xf>
    <xf numFmtId="0" fontId="3" fillId="6" borderId="83" xfId="0" applyFont="1" applyFill="1" applyBorder="1" applyAlignment="1">
      <alignment horizontal="center"/>
    </xf>
    <xf numFmtId="0" fontId="3" fillId="6" borderId="84" xfId="0" applyFont="1" applyFill="1" applyBorder="1" applyAlignment="1">
      <alignment horizontal="center"/>
    </xf>
    <xf numFmtId="0" fontId="3" fillId="6" borderId="85" xfId="0" applyFont="1" applyFill="1" applyBorder="1" applyAlignment="1">
      <alignment horizontal="center"/>
    </xf>
    <xf numFmtId="0" fontId="3" fillId="6" borderId="69" xfId="0" applyFont="1" applyFill="1" applyBorder="1" applyAlignment="1">
      <alignment horizontal="center"/>
    </xf>
    <xf numFmtId="0" fontId="2" fillId="3" borderId="66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67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3333FF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Break-Even Hay Prices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'Grain vs Hay'!$B$42</c:f>
              <c:strCache>
                <c:ptCount val="1"/>
                <c:pt idx="0">
                  <c:v>Yield 20 bu/acre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'Grain vs Hay'!$C$41:$N$41</c:f>
              <c:numCache>
                <c:formatCode>General</c:formatCode>
                <c:ptCount val="12"/>
                <c:pt idx="0">
                  <c:v>6.5</c:v>
                </c:pt>
                <c:pt idx="1">
                  <c:v>7</c:v>
                </c:pt>
                <c:pt idx="2">
                  <c:v>7.5</c:v>
                </c:pt>
                <c:pt idx="3">
                  <c:v>8</c:v>
                </c:pt>
                <c:pt idx="4">
                  <c:v>8.5</c:v>
                </c:pt>
                <c:pt idx="5">
                  <c:v>9</c:v>
                </c:pt>
                <c:pt idx="6">
                  <c:v>9.5</c:v>
                </c:pt>
                <c:pt idx="7">
                  <c:v>10</c:v>
                </c:pt>
                <c:pt idx="8">
                  <c:v>10.5</c:v>
                </c:pt>
                <c:pt idx="9">
                  <c:v>11</c:v>
                </c:pt>
                <c:pt idx="10">
                  <c:v>11.5</c:v>
                </c:pt>
                <c:pt idx="11">
                  <c:v>12</c:v>
                </c:pt>
              </c:numCache>
            </c:numRef>
          </c:cat>
          <c:val>
            <c:numRef>
              <c:f>'Grain vs Hay'!$C$42:$N$42</c:f>
              <c:numCache>
                <c:formatCode>_(* #,##0_);_(* \(#,##0\);_(* "-"??_);_(@_)</c:formatCode>
                <c:ptCount val="12"/>
                <c:pt idx="0">
                  <c:v>121.67894736842106</c:v>
                </c:pt>
                <c:pt idx="1">
                  <c:v>131.32807017543863</c:v>
                </c:pt>
                <c:pt idx="2">
                  <c:v>140.97719298245616</c:v>
                </c:pt>
                <c:pt idx="3">
                  <c:v>150.62631578947369</c:v>
                </c:pt>
                <c:pt idx="4">
                  <c:v>160.27543859649126</c:v>
                </c:pt>
                <c:pt idx="5">
                  <c:v>169.92456140350879</c:v>
                </c:pt>
                <c:pt idx="6">
                  <c:v>179.57368421052632</c:v>
                </c:pt>
                <c:pt idx="7">
                  <c:v>189.22280701754389</c:v>
                </c:pt>
                <c:pt idx="8">
                  <c:v>198.87192982456142</c:v>
                </c:pt>
                <c:pt idx="9">
                  <c:v>208.52105263157895</c:v>
                </c:pt>
                <c:pt idx="10">
                  <c:v>218.17017543859652</c:v>
                </c:pt>
                <c:pt idx="11">
                  <c:v>227.81929824561405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11-48E5-AF6E-7EB5EE963D1D}"/>
            </c:ext>
          </c:extLst>
        </c:ser>
        <c:ser>
          <c:idx val="2"/>
          <c:order val="2"/>
          <c:tx>
            <c:strRef>
              <c:f>'Grain vs Hay'!$B$43</c:f>
              <c:strCache>
                <c:ptCount val="1"/>
                <c:pt idx="0">
                  <c:v>Yield 30 bu/acre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'Grain vs Hay'!$C$41:$N$41</c:f>
              <c:numCache>
                <c:formatCode>General</c:formatCode>
                <c:ptCount val="12"/>
                <c:pt idx="0">
                  <c:v>6.5</c:v>
                </c:pt>
                <c:pt idx="1">
                  <c:v>7</c:v>
                </c:pt>
                <c:pt idx="2">
                  <c:v>7.5</c:v>
                </c:pt>
                <c:pt idx="3">
                  <c:v>8</c:v>
                </c:pt>
                <c:pt idx="4">
                  <c:v>8.5</c:v>
                </c:pt>
                <c:pt idx="5">
                  <c:v>9</c:v>
                </c:pt>
                <c:pt idx="6">
                  <c:v>9.5</c:v>
                </c:pt>
                <c:pt idx="7">
                  <c:v>10</c:v>
                </c:pt>
                <c:pt idx="8">
                  <c:v>10.5</c:v>
                </c:pt>
                <c:pt idx="9">
                  <c:v>11</c:v>
                </c:pt>
                <c:pt idx="10">
                  <c:v>11.5</c:v>
                </c:pt>
                <c:pt idx="11">
                  <c:v>12</c:v>
                </c:pt>
              </c:numCache>
            </c:numRef>
          </c:cat>
          <c:val>
            <c:numRef>
              <c:f>'Grain vs Hay'!$C$43:$N$43</c:f>
              <c:numCache>
                <c:formatCode>_(* #,##0_);_(* \(#,##0\);_(* "-"??_);_(@_)</c:formatCode>
                <c:ptCount val="12"/>
                <c:pt idx="0">
                  <c:v>145.6087719298246</c:v>
                </c:pt>
                <c:pt idx="1">
                  <c:v>155.25789473684213</c:v>
                </c:pt>
                <c:pt idx="2">
                  <c:v>164.90701754385967</c:v>
                </c:pt>
                <c:pt idx="3">
                  <c:v>174.55614035087723</c:v>
                </c:pt>
                <c:pt idx="4">
                  <c:v>184.20526315789476</c:v>
                </c:pt>
                <c:pt idx="5">
                  <c:v>193.8543859649123</c:v>
                </c:pt>
                <c:pt idx="6">
                  <c:v>203.50350877192986</c:v>
                </c:pt>
                <c:pt idx="7">
                  <c:v>213.15263157894739</c:v>
                </c:pt>
                <c:pt idx="8">
                  <c:v>222.80175438596493</c:v>
                </c:pt>
                <c:pt idx="9">
                  <c:v>232.45087719298249</c:v>
                </c:pt>
                <c:pt idx="10">
                  <c:v>242.10000000000002</c:v>
                </c:pt>
                <c:pt idx="11">
                  <c:v>251.74912280701756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11-48E5-AF6E-7EB5EE963D1D}"/>
            </c:ext>
          </c:extLst>
        </c:ser>
        <c:ser>
          <c:idx val="3"/>
          <c:order val="3"/>
          <c:tx>
            <c:strRef>
              <c:f>'Grain vs Hay'!$B$44</c:f>
              <c:strCache>
                <c:ptCount val="1"/>
                <c:pt idx="0">
                  <c:v>Yield 40 bu/acre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'Grain vs Hay'!$C$41:$N$41</c:f>
              <c:numCache>
                <c:formatCode>General</c:formatCode>
                <c:ptCount val="12"/>
                <c:pt idx="0">
                  <c:v>6.5</c:v>
                </c:pt>
                <c:pt idx="1">
                  <c:v>7</c:v>
                </c:pt>
                <c:pt idx="2">
                  <c:v>7.5</c:v>
                </c:pt>
                <c:pt idx="3">
                  <c:v>8</c:v>
                </c:pt>
                <c:pt idx="4">
                  <c:v>8.5</c:v>
                </c:pt>
                <c:pt idx="5">
                  <c:v>9</c:v>
                </c:pt>
                <c:pt idx="6">
                  <c:v>9.5</c:v>
                </c:pt>
                <c:pt idx="7">
                  <c:v>10</c:v>
                </c:pt>
                <c:pt idx="8">
                  <c:v>10.5</c:v>
                </c:pt>
                <c:pt idx="9">
                  <c:v>11</c:v>
                </c:pt>
                <c:pt idx="10">
                  <c:v>11.5</c:v>
                </c:pt>
                <c:pt idx="11">
                  <c:v>12</c:v>
                </c:pt>
              </c:numCache>
            </c:numRef>
          </c:cat>
          <c:val>
            <c:numRef>
              <c:f>'Grain vs Hay'!$C$44:$N$44</c:f>
              <c:numCache>
                <c:formatCode>_(* #,##0_);_(* \(#,##0\);_(* "-"??_);_(@_)</c:formatCode>
                <c:ptCount val="12"/>
                <c:pt idx="0">
                  <c:v>145.6087719298246</c:v>
                </c:pt>
                <c:pt idx="1">
                  <c:v>155.25789473684213</c:v>
                </c:pt>
                <c:pt idx="2">
                  <c:v>164.90701754385967</c:v>
                </c:pt>
                <c:pt idx="3">
                  <c:v>174.55614035087723</c:v>
                </c:pt>
                <c:pt idx="4">
                  <c:v>184.20526315789476</c:v>
                </c:pt>
                <c:pt idx="5">
                  <c:v>193.8543859649123</c:v>
                </c:pt>
                <c:pt idx="6">
                  <c:v>203.50350877192986</c:v>
                </c:pt>
                <c:pt idx="7">
                  <c:v>213.15263157894739</c:v>
                </c:pt>
                <c:pt idx="8">
                  <c:v>222.80175438596493</c:v>
                </c:pt>
                <c:pt idx="9">
                  <c:v>232.45087719298249</c:v>
                </c:pt>
                <c:pt idx="10">
                  <c:v>242.10000000000002</c:v>
                </c:pt>
                <c:pt idx="11">
                  <c:v>251.74912280701756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11-48E5-AF6E-7EB5EE963D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1718496"/>
        <c:axId val="4217201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'Grain vs Hay'!$B$41</c15:sqref>
                        </c15:formulaRef>
                      </c:ext>
                    </c:extLst>
                    <c:strCache>
                      <c:ptCount val="1"/>
                      <c:pt idx="0">
                        <c:v>Price ($/bu)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'Grain vs Hay'!$C$41:$N$41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6.5</c:v>
                      </c:pt>
                      <c:pt idx="1">
                        <c:v>7</c:v>
                      </c:pt>
                      <c:pt idx="2">
                        <c:v>7.5</c:v>
                      </c:pt>
                      <c:pt idx="3">
                        <c:v>8</c:v>
                      </c:pt>
                      <c:pt idx="4">
                        <c:v>8.5</c:v>
                      </c:pt>
                      <c:pt idx="5">
                        <c:v>9</c:v>
                      </c:pt>
                      <c:pt idx="6">
                        <c:v>9.5</c:v>
                      </c:pt>
                      <c:pt idx="7">
                        <c:v>10</c:v>
                      </c:pt>
                      <c:pt idx="8">
                        <c:v>10.5</c:v>
                      </c:pt>
                      <c:pt idx="9">
                        <c:v>11</c:v>
                      </c:pt>
                      <c:pt idx="10">
                        <c:v>11.5</c:v>
                      </c:pt>
                      <c:pt idx="11">
                        <c:v>12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'Grain vs Hay'!$C$41:$N$41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6.5</c:v>
                      </c:pt>
                      <c:pt idx="1">
                        <c:v>7</c:v>
                      </c:pt>
                      <c:pt idx="2">
                        <c:v>7.5</c:v>
                      </c:pt>
                      <c:pt idx="3">
                        <c:v>8</c:v>
                      </c:pt>
                      <c:pt idx="4">
                        <c:v>8.5</c:v>
                      </c:pt>
                      <c:pt idx="5">
                        <c:v>9</c:v>
                      </c:pt>
                      <c:pt idx="6">
                        <c:v>9.5</c:v>
                      </c:pt>
                      <c:pt idx="7">
                        <c:v>10</c:v>
                      </c:pt>
                      <c:pt idx="8">
                        <c:v>10.5</c:v>
                      </c:pt>
                      <c:pt idx="9">
                        <c:v>11</c:v>
                      </c:pt>
                      <c:pt idx="10">
                        <c:v>11.5</c:v>
                      </c:pt>
                      <c:pt idx="11">
                        <c:v>12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8F11-48E5-AF6E-7EB5EE963D1D}"/>
                  </c:ext>
                </c:extLst>
              </c15:ser>
            </c15:filteredLineSeries>
          </c:ext>
        </c:extLst>
      </c:lineChart>
      <c:catAx>
        <c:axId val="421718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Wheat</a:t>
                </a:r>
                <a:r>
                  <a:rPr lang="en-US" b="1" baseline="0">
                    <a:solidFill>
                      <a:sysClr val="windowText" lastClr="000000"/>
                    </a:solidFill>
                  </a:rPr>
                  <a:t> Grain Prices ($/bu)</a:t>
                </a:r>
                <a:endParaRPr lang="en-US" b="1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1720160"/>
        <c:crosses val="autoZero"/>
        <c:auto val="1"/>
        <c:lblAlgn val="ctr"/>
        <c:lblOffset val="100"/>
        <c:noMultiLvlLbl val="0"/>
      </c:catAx>
      <c:valAx>
        <c:axId val="421720160"/>
        <c:scaling>
          <c:orientation val="minMax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Hay Prices ($/ton)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1718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819820</xdr:colOff>
      <xdr:row>1</xdr:row>
      <xdr:rowOff>76198</xdr:rowOff>
    </xdr:from>
    <xdr:to>
      <xdr:col>5</xdr:col>
      <xdr:colOff>121921</xdr:colOff>
      <xdr:row>7</xdr:row>
      <xdr:rowOff>125729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4390EC-FFE4-43D0-8582-50A851713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8470" y="257173"/>
          <a:ext cx="3188301" cy="11353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541020</xdr:colOff>
      <xdr:row>17</xdr:row>
      <xdr:rowOff>150495</xdr:rowOff>
    </xdr:from>
    <xdr:to>
      <xdr:col>2</xdr:col>
      <xdr:colOff>845820</xdr:colOff>
      <xdr:row>19</xdr:row>
      <xdr:rowOff>56515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4A9E1E02-9CC7-4825-BAC5-E63FC20A20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7395" y="3598545"/>
          <a:ext cx="304800" cy="287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912495</xdr:colOff>
      <xdr:row>32</xdr:row>
      <xdr:rowOff>46670</xdr:rowOff>
    </xdr:from>
    <xdr:to>
      <xdr:col>14</xdr:col>
      <xdr:colOff>285750</xdr:colOff>
      <xdr:row>57</xdr:row>
      <xdr:rowOff>87629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5DCAD01-8AA1-43FC-A70D-C5A8DBE0F4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0.12563</cdr:x>
      <cdr:y>0.10833</cdr:y>
    </cdr:from>
    <cdr:to>
      <cdr:x>0.45091</cdr:x>
      <cdr:y>0.20434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88685DF4-2FEC-4A0B-978A-EF8DB8F3B958}"/>
            </a:ext>
          </a:extLst>
        </cdr:cNvPr>
        <cdr:cNvSpPr txBox="1"/>
      </cdr:nvSpPr>
      <cdr:spPr>
        <a:xfrm xmlns:a="http://schemas.openxmlformats.org/drawingml/2006/main">
          <a:off x="802005" y="494350"/>
          <a:ext cx="2076450" cy="438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0.13906</cdr:x>
      <cdr:y>0.10415</cdr:y>
    </cdr:from>
    <cdr:to>
      <cdr:x>0.53596</cdr:x>
      <cdr:y>0.1626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55C3B9FD-2B25-495B-9DEE-D453CB6C6399}"/>
            </a:ext>
          </a:extLst>
        </cdr:cNvPr>
        <cdr:cNvSpPr txBox="1"/>
      </cdr:nvSpPr>
      <cdr:spPr>
        <a:xfrm xmlns:a="http://schemas.openxmlformats.org/drawingml/2006/main">
          <a:off x="887730" y="475300"/>
          <a:ext cx="253365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Hay</a:t>
          </a:r>
          <a:r>
            <a:rPr lang="en-US" sz="1100" baseline="0"/>
            <a:t> prices </a:t>
          </a:r>
          <a:r>
            <a:rPr lang="en-US" sz="1100" b="1" baseline="0"/>
            <a:t>above</a:t>
          </a:r>
          <a:r>
            <a:rPr lang="en-US" sz="1100" baseline="0"/>
            <a:t> break-even price</a:t>
          </a:r>
          <a:endParaRPr lang="en-US" sz="1100"/>
        </a:p>
      </cdr:txBody>
    </cdr:sp>
  </cdr:relSizeAnchor>
  <cdr:relSizeAnchor xmlns:cdr="http://schemas.openxmlformats.org/drawingml/2006/chartDrawing">
    <cdr:from>
      <cdr:x>0.62399</cdr:x>
      <cdr:y>0.60391</cdr:y>
    </cdr:from>
    <cdr:to>
      <cdr:x>1</cdr:x>
      <cdr:y>0.66562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92560E40-C4C2-497E-872A-9F527FC65D44}"/>
            </a:ext>
          </a:extLst>
        </cdr:cNvPr>
        <cdr:cNvSpPr txBox="1"/>
      </cdr:nvSpPr>
      <cdr:spPr>
        <a:xfrm xmlns:a="http://schemas.openxmlformats.org/drawingml/2006/main">
          <a:off x="3980977" y="2755900"/>
          <a:ext cx="2398868" cy="281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/>
            <a:t>Hay</a:t>
          </a:r>
          <a:r>
            <a:rPr lang="en-US" sz="1100" baseline="0"/>
            <a:t> prices </a:t>
          </a:r>
          <a:r>
            <a:rPr lang="en-US" sz="1100" b="1" baseline="0"/>
            <a:t>below</a:t>
          </a:r>
          <a:r>
            <a:rPr lang="en-US" sz="1100" baseline="0"/>
            <a:t> break-even price</a:t>
          </a:r>
          <a:endParaRPr lang="en-US" sz="1100"/>
        </a:p>
      </cdr:txBody>
    </cdr:sp>
  </cdr:relSizeAnchor>
  <cdr:relSizeAnchor xmlns:cdr="http://schemas.openxmlformats.org/drawingml/2006/chartDrawing">
    <cdr:from>
      <cdr:x>0.20641</cdr:x>
      <cdr:y>0.20942</cdr:y>
    </cdr:from>
    <cdr:to>
      <cdr:x>0.6033</cdr:x>
      <cdr:y>0.26786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F13CF4C6-C380-4692-B8DC-C9AFA9E838C2}"/>
            </a:ext>
          </a:extLst>
        </cdr:cNvPr>
        <cdr:cNvSpPr txBox="1"/>
      </cdr:nvSpPr>
      <cdr:spPr>
        <a:xfrm xmlns:a="http://schemas.openxmlformats.org/drawingml/2006/main">
          <a:off x="1316839" y="955675"/>
          <a:ext cx="2532137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Harvest Hay</a:t>
          </a:r>
        </a:p>
      </cdr:txBody>
    </cdr:sp>
  </cdr:relSizeAnchor>
  <cdr:relSizeAnchor xmlns:cdr="http://schemas.openxmlformats.org/drawingml/2006/chartDrawing">
    <cdr:from>
      <cdr:x>0.61859</cdr:x>
      <cdr:y>0.72497</cdr:y>
    </cdr:from>
    <cdr:to>
      <cdr:x>0.9946</cdr:x>
      <cdr:y>0.78668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FFF091CC-D8D1-4737-89D6-F60E94A8316C}"/>
            </a:ext>
          </a:extLst>
        </cdr:cNvPr>
        <cdr:cNvSpPr txBox="1"/>
      </cdr:nvSpPr>
      <cdr:spPr>
        <a:xfrm xmlns:a="http://schemas.openxmlformats.org/drawingml/2006/main">
          <a:off x="3946495" y="3308350"/>
          <a:ext cx="2398867" cy="281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aseline="0"/>
            <a:t>Harvest Grain</a:t>
          </a:r>
          <a:endParaRPr lang="en-US" sz="1100"/>
        </a:p>
      </cdr:txBody>
    </cdr:sp>
  </cdr:relSizeAnchor>
  <cdr:relSizeAnchor xmlns:cdr="http://schemas.openxmlformats.org/drawingml/2006/chartDrawing">
    <cdr:from>
      <cdr:x>0.25231</cdr:x>
      <cdr:y>0.15842</cdr:y>
    </cdr:from>
    <cdr:to>
      <cdr:x>0.30606</cdr:x>
      <cdr:y>0.21687</cdr:y>
    </cdr:to>
    <cdr:sp macro="" textlink="">
      <cdr:nvSpPr>
        <cdr:cNvPr id="7" name="Arrow: Down 6">
          <a:extLst xmlns:a="http://schemas.openxmlformats.org/drawingml/2006/main">
            <a:ext uri="{FF2B5EF4-FFF2-40B4-BE49-F238E27FC236}">
              <a16:creationId xmlns:a16="http://schemas.microsoft.com/office/drawing/2014/main" id="{9E56B3FC-ED18-44EF-B9CD-6B8758C992B4}"/>
            </a:ext>
          </a:extLst>
        </cdr:cNvPr>
        <cdr:cNvSpPr/>
      </cdr:nvSpPr>
      <cdr:spPr>
        <a:xfrm xmlns:a="http://schemas.openxmlformats.org/drawingml/2006/main">
          <a:off x="1609725" y="722950"/>
          <a:ext cx="342900" cy="266700"/>
        </a:xfrm>
        <a:prstGeom xmlns:a="http://schemas.openxmlformats.org/drawingml/2006/main" prst="downArrow">
          <a:avLst/>
        </a:prstGeom>
        <a:solidFill xmlns:a="http://schemas.openxmlformats.org/drawingml/2006/main">
          <a:srgbClr val="00B050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0.77983</cdr:x>
      <cdr:y>0.65727</cdr:y>
    </cdr:from>
    <cdr:to>
      <cdr:x>0.83358</cdr:x>
      <cdr:y>0.72497</cdr:y>
    </cdr:to>
    <cdr:sp macro="" textlink="">
      <cdr:nvSpPr>
        <cdr:cNvPr id="8" name="Arrow: Down 7">
          <a:extLst xmlns:a="http://schemas.openxmlformats.org/drawingml/2006/main">
            <a:ext uri="{FF2B5EF4-FFF2-40B4-BE49-F238E27FC236}">
              <a16:creationId xmlns:a16="http://schemas.microsoft.com/office/drawing/2014/main" id="{EBBB8DBB-3669-4B87-9684-DEFAA4645E96}"/>
            </a:ext>
          </a:extLst>
        </cdr:cNvPr>
        <cdr:cNvSpPr/>
      </cdr:nvSpPr>
      <cdr:spPr>
        <a:xfrm xmlns:a="http://schemas.openxmlformats.org/drawingml/2006/main">
          <a:off x="4975225" y="2999425"/>
          <a:ext cx="342900" cy="308925"/>
        </a:xfrm>
        <a:prstGeom xmlns:a="http://schemas.openxmlformats.org/drawingml/2006/main" prst="downArrow">
          <a:avLst/>
        </a:prstGeom>
        <a:solidFill xmlns:a="http://schemas.openxmlformats.org/drawingml/2006/main">
          <a:srgbClr val="FF0000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bf2ce8d9212bc1e/Texas%20A%5e0M%20Vernon/Farm%20Example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Summary"/>
      <sheetName val="Graphs"/>
      <sheetName val="IS"/>
      <sheetName val="Farm Margins"/>
      <sheetName val="Cow-Calf Margins"/>
      <sheetName val="Stockers Margins"/>
      <sheetName val="Wheat Sales"/>
      <sheetName val="Cotton Sales"/>
      <sheetName val="Stockers Sales"/>
      <sheetName val="Wheat Grain"/>
      <sheetName val="Wheat Dual A EGP"/>
      <sheetName val="Wheat Dual A LGP"/>
      <sheetName val="Wheat Grazing"/>
      <sheetName val="Irrigated Wheat"/>
      <sheetName val="Cotton"/>
      <sheetName val="Irrigated Cotton"/>
      <sheetName val="Cow-Calf DT"/>
      <sheetName val="StockerSB"/>
      <sheetName val="S Def"/>
      <sheetName val="Purch CT"/>
      <sheetName val="Sheet1"/>
      <sheetName val="Data"/>
    </sheetNames>
    <sheetDataSet>
      <sheetData sheetId="0">
        <row r="8">
          <cell r="C8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1">
          <cell r="F11">
            <v>50.5</v>
          </cell>
        </row>
        <row r="39">
          <cell r="F39">
            <v>0</v>
          </cell>
        </row>
        <row r="41">
          <cell r="F41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fjabello@tamu.edu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B6A2E-184B-4208-9353-2AEEF42FF786}">
  <dimension ref="B9:F23"/>
  <sheetViews>
    <sheetView tabSelected="1" workbookViewId="0">
      <selection activeCell="D29" sqref="D29"/>
    </sheetView>
  </sheetViews>
  <sheetFormatPr defaultColWidth="8.7109375" defaultRowHeight="15" x14ac:dyDescent="0.25"/>
  <cols>
    <col min="1" max="1" width="8.7109375" style="1"/>
    <col min="2" max="6" width="13.42578125" style="1" customWidth="1"/>
    <col min="7" max="7" width="14.42578125" style="1" customWidth="1"/>
    <col min="8" max="257" width="8.7109375" style="1"/>
    <col min="258" max="262" width="13.42578125" style="1" customWidth="1"/>
    <col min="263" max="263" width="14.42578125" style="1" customWidth="1"/>
    <col min="264" max="513" width="8.7109375" style="1"/>
    <col min="514" max="518" width="13.42578125" style="1" customWidth="1"/>
    <col min="519" max="519" width="14.42578125" style="1" customWidth="1"/>
    <col min="520" max="769" width="8.7109375" style="1"/>
    <col min="770" max="774" width="13.42578125" style="1" customWidth="1"/>
    <col min="775" max="775" width="14.42578125" style="1" customWidth="1"/>
    <col min="776" max="1025" width="8.7109375" style="1"/>
    <col min="1026" max="1030" width="13.42578125" style="1" customWidth="1"/>
    <col min="1031" max="1031" width="14.42578125" style="1" customWidth="1"/>
    <col min="1032" max="1281" width="8.7109375" style="1"/>
    <col min="1282" max="1286" width="13.42578125" style="1" customWidth="1"/>
    <col min="1287" max="1287" width="14.42578125" style="1" customWidth="1"/>
    <col min="1288" max="1537" width="8.7109375" style="1"/>
    <col min="1538" max="1542" width="13.42578125" style="1" customWidth="1"/>
    <col min="1543" max="1543" width="14.42578125" style="1" customWidth="1"/>
    <col min="1544" max="1793" width="8.7109375" style="1"/>
    <col min="1794" max="1798" width="13.42578125" style="1" customWidth="1"/>
    <col min="1799" max="1799" width="14.42578125" style="1" customWidth="1"/>
    <col min="1800" max="2049" width="8.7109375" style="1"/>
    <col min="2050" max="2054" width="13.42578125" style="1" customWidth="1"/>
    <col min="2055" max="2055" width="14.42578125" style="1" customWidth="1"/>
    <col min="2056" max="2305" width="8.7109375" style="1"/>
    <col min="2306" max="2310" width="13.42578125" style="1" customWidth="1"/>
    <col min="2311" max="2311" width="14.42578125" style="1" customWidth="1"/>
    <col min="2312" max="2561" width="8.7109375" style="1"/>
    <col min="2562" max="2566" width="13.42578125" style="1" customWidth="1"/>
    <col min="2567" max="2567" width="14.42578125" style="1" customWidth="1"/>
    <col min="2568" max="2817" width="8.7109375" style="1"/>
    <col min="2818" max="2822" width="13.42578125" style="1" customWidth="1"/>
    <col min="2823" max="2823" width="14.42578125" style="1" customWidth="1"/>
    <col min="2824" max="3073" width="8.7109375" style="1"/>
    <col min="3074" max="3078" width="13.42578125" style="1" customWidth="1"/>
    <col min="3079" max="3079" width="14.42578125" style="1" customWidth="1"/>
    <col min="3080" max="3329" width="8.7109375" style="1"/>
    <col min="3330" max="3334" width="13.42578125" style="1" customWidth="1"/>
    <col min="3335" max="3335" width="14.42578125" style="1" customWidth="1"/>
    <col min="3336" max="3585" width="8.7109375" style="1"/>
    <col min="3586" max="3590" width="13.42578125" style="1" customWidth="1"/>
    <col min="3591" max="3591" width="14.42578125" style="1" customWidth="1"/>
    <col min="3592" max="3841" width="8.7109375" style="1"/>
    <col min="3842" max="3846" width="13.42578125" style="1" customWidth="1"/>
    <col min="3847" max="3847" width="14.42578125" style="1" customWidth="1"/>
    <col min="3848" max="4097" width="8.7109375" style="1"/>
    <col min="4098" max="4102" width="13.42578125" style="1" customWidth="1"/>
    <col min="4103" max="4103" width="14.42578125" style="1" customWidth="1"/>
    <col min="4104" max="4353" width="8.7109375" style="1"/>
    <col min="4354" max="4358" width="13.42578125" style="1" customWidth="1"/>
    <col min="4359" max="4359" width="14.42578125" style="1" customWidth="1"/>
    <col min="4360" max="4609" width="8.7109375" style="1"/>
    <col min="4610" max="4614" width="13.42578125" style="1" customWidth="1"/>
    <col min="4615" max="4615" width="14.42578125" style="1" customWidth="1"/>
    <col min="4616" max="4865" width="8.7109375" style="1"/>
    <col min="4866" max="4870" width="13.42578125" style="1" customWidth="1"/>
    <col min="4871" max="4871" width="14.42578125" style="1" customWidth="1"/>
    <col min="4872" max="5121" width="8.7109375" style="1"/>
    <col min="5122" max="5126" width="13.42578125" style="1" customWidth="1"/>
    <col min="5127" max="5127" width="14.42578125" style="1" customWidth="1"/>
    <col min="5128" max="5377" width="8.7109375" style="1"/>
    <col min="5378" max="5382" width="13.42578125" style="1" customWidth="1"/>
    <col min="5383" max="5383" width="14.42578125" style="1" customWidth="1"/>
    <col min="5384" max="5633" width="8.7109375" style="1"/>
    <col min="5634" max="5638" width="13.42578125" style="1" customWidth="1"/>
    <col min="5639" max="5639" width="14.42578125" style="1" customWidth="1"/>
    <col min="5640" max="5889" width="8.7109375" style="1"/>
    <col min="5890" max="5894" width="13.42578125" style="1" customWidth="1"/>
    <col min="5895" max="5895" width="14.42578125" style="1" customWidth="1"/>
    <col min="5896" max="6145" width="8.7109375" style="1"/>
    <col min="6146" max="6150" width="13.42578125" style="1" customWidth="1"/>
    <col min="6151" max="6151" width="14.42578125" style="1" customWidth="1"/>
    <col min="6152" max="6401" width="8.7109375" style="1"/>
    <col min="6402" max="6406" width="13.42578125" style="1" customWidth="1"/>
    <col min="6407" max="6407" width="14.42578125" style="1" customWidth="1"/>
    <col min="6408" max="6657" width="8.7109375" style="1"/>
    <col min="6658" max="6662" width="13.42578125" style="1" customWidth="1"/>
    <col min="6663" max="6663" width="14.42578125" style="1" customWidth="1"/>
    <col min="6664" max="6913" width="8.7109375" style="1"/>
    <col min="6914" max="6918" width="13.42578125" style="1" customWidth="1"/>
    <col min="6919" max="6919" width="14.42578125" style="1" customWidth="1"/>
    <col min="6920" max="7169" width="8.7109375" style="1"/>
    <col min="7170" max="7174" width="13.42578125" style="1" customWidth="1"/>
    <col min="7175" max="7175" width="14.42578125" style="1" customWidth="1"/>
    <col min="7176" max="7425" width="8.7109375" style="1"/>
    <col min="7426" max="7430" width="13.42578125" style="1" customWidth="1"/>
    <col min="7431" max="7431" width="14.42578125" style="1" customWidth="1"/>
    <col min="7432" max="7681" width="8.7109375" style="1"/>
    <col min="7682" max="7686" width="13.42578125" style="1" customWidth="1"/>
    <col min="7687" max="7687" width="14.42578125" style="1" customWidth="1"/>
    <col min="7688" max="7937" width="8.7109375" style="1"/>
    <col min="7938" max="7942" width="13.42578125" style="1" customWidth="1"/>
    <col min="7943" max="7943" width="14.42578125" style="1" customWidth="1"/>
    <col min="7944" max="8193" width="8.7109375" style="1"/>
    <col min="8194" max="8198" width="13.42578125" style="1" customWidth="1"/>
    <col min="8199" max="8199" width="14.42578125" style="1" customWidth="1"/>
    <col min="8200" max="8449" width="8.7109375" style="1"/>
    <col min="8450" max="8454" width="13.42578125" style="1" customWidth="1"/>
    <col min="8455" max="8455" width="14.42578125" style="1" customWidth="1"/>
    <col min="8456" max="8705" width="8.7109375" style="1"/>
    <col min="8706" max="8710" width="13.42578125" style="1" customWidth="1"/>
    <col min="8711" max="8711" width="14.42578125" style="1" customWidth="1"/>
    <col min="8712" max="8961" width="8.7109375" style="1"/>
    <col min="8962" max="8966" width="13.42578125" style="1" customWidth="1"/>
    <col min="8967" max="8967" width="14.42578125" style="1" customWidth="1"/>
    <col min="8968" max="9217" width="8.7109375" style="1"/>
    <col min="9218" max="9222" width="13.42578125" style="1" customWidth="1"/>
    <col min="9223" max="9223" width="14.42578125" style="1" customWidth="1"/>
    <col min="9224" max="9473" width="8.7109375" style="1"/>
    <col min="9474" max="9478" width="13.42578125" style="1" customWidth="1"/>
    <col min="9479" max="9479" width="14.42578125" style="1" customWidth="1"/>
    <col min="9480" max="9729" width="8.7109375" style="1"/>
    <col min="9730" max="9734" width="13.42578125" style="1" customWidth="1"/>
    <col min="9735" max="9735" width="14.42578125" style="1" customWidth="1"/>
    <col min="9736" max="9985" width="8.7109375" style="1"/>
    <col min="9986" max="9990" width="13.42578125" style="1" customWidth="1"/>
    <col min="9991" max="9991" width="14.42578125" style="1" customWidth="1"/>
    <col min="9992" max="10241" width="8.7109375" style="1"/>
    <col min="10242" max="10246" width="13.42578125" style="1" customWidth="1"/>
    <col min="10247" max="10247" width="14.42578125" style="1" customWidth="1"/>
    <col min="10248" max="10497" width="8.7109375" style="1"/>
    <col min="10498" max="10502" width="13.42578125" style="1" customWidth="1"/>
    <col min="10503" max="10503" width="14.42578125" style="1" customWidth="1"/>
    <col min="10504" max="10753" width="8.7109375" style="1"/>
    <col min="10754" max="10758" width="13.42578125" style="1" customWidth="1"/>
    <col min="10759" max="10759" width="14.42578125" style="1" customWidth="1"/>
    <col min="10760" max="11009" width="8.7109375" style="1"/>
    <col min="11010" max="11014" width="13.42578125" style="1" customWidth="1"/>
    <col min="11015" max="11015" width="14.42578125" style="1" customWidth="1"/>
    <col min="11016" max="11265" width="8.7109375" style="1"/>
    <col min="11266" max="11270" width="13.42578125" style="1" customWidth="1"/>
    <col min="11271" max="11271" width="14.42578125" style="1" customWidth="1"/>
    <col min="11272" max="11521" width="8.7109375" style="1"/>
    <col min="11522" max="11526" width="13.42578125" style="1" customWidth="1"/>
    <col min="11527" max="11527" width="14.42578125" style="1" customWidth="1"/>
    <col min="11528" max="11777" width="8.7109375" style="1"/>
    <col min="11778" max="11782" width="13.42578125" style="1" customWidth="1"/>
    <col min="11783" max="11783" width="14.42578125" style="1" customWidth="1"/>
    <col min="11784" max="12033" width="8.7109375" style="1"/>
    <col min="12034" max="12038" width="13.42578125" style="1" customWidth="1"/>
    <col min="12039" max="12039" width="14.42578125" style="1" customWidth="1"/>
    <col min="12040" max="12289" width="8.7109375" style="1"/>
    <col min="12290" max="12294" width="13.42578125" style="1" customWidth="1"/>
    <col min="12295" max="12295" width="14.42578125" style="1" customWidth="1"/>
    <col min="12296" max="12545" width="8.7109375" style="1"/>
    <col min="12546" max="12550" width="13.42578125" style="1" customWidth="1"/>
    <col min="12551" max="12551" width="14.42578125" style="1" customWidth="1"/>
    <col min="12552" max="12801" width="8.7109375" style="1"/>
    <col min="12802" max="12806" width="13.42578125" style="1" customWidth="1"/>
    <col min="12807" max="12807" width="14.42578125" style="1" customWidth="1"/>
    <col min="12808" max="13057" width="8.7109375" style="1"/>
    <col min="13058" max="13062" width="13.42578125" style="1" customWidth="1"/>
    <col min="13063" max="13063" width="14.42578125" style="1" customWidth="1"/>
    <col min="13064" max="13313" width="8.7109375" style="1"/>
    <col min="13314" max="13318" width="13.42578125" style="1" customWidth="1"/>
    <col min="13319" max="13319" width="14.42578125" style="1" customWidth="1"/>
    <col min="13320" max="13569" width="8.7109375" style="1"/>
    <col min="13570" max="13574" width="13.42578125" style="1" customWidth="1"/>
    <col min="13575" max="13575" width="14.42578125" style="1" customWidth="1"/>
    <col min="13576" max="13825" width="8.7109375" style="1"/>
    <col min="13826" max="13830" width="13.42578125" style="1" customWidth="1"/>
    <col min="13831" max="13831" width="14.42578125" style="1" customWidth="1"/>
    <col min="13832" max="14081" width="8.7109375" style="1"/>
    <col min="14082" max="14086" width="13.42578125" style="1" customWidth="1"/>
    <col min="14087" max="14087" width="14.42578125" style="1" customWidth="1"/>
    <col min="14088" max="14337" width="8.7109375" style="1"/>
    <col min="14338" max="14342" width="13.42578125" style="1" customWidth="1"/>
    <col min="14343" max="14343" width="14.42578125" style="1" customWidth="1"/>
    <col min="14344" max="14593" width="8.7109375" style="1"/>
    <col min="14594" max="14598" width="13.42578125" style="1" customWidth="1"/>
    <col min="14599" max="14599" width="14.42578125" style="1" customWidth="1"/>
    <col min="14600" max="14849" width="8.7109375" style="1"/>
    <col min="14850" max="14854" width="13.42578125" style="1" customWidth="1"/>
    <col min="14855" max="14855" width="14.42578125" style="1" customWidth="1"/>
    <col min="14856" max="15105" width="8.7109375" style="1"/>
    <col min="15106" max="15110" width="13.42578125" style="1" customWidth="1"/>
    <col min="15111" max="15111" width="14.42578125" style="1" customWidth="1"/>
    <col min="15112" max="15361" width="8.7109375" style="1"/>
    <col min="15362" max="15366" width="13.42578125" style="1" customWidth="1"/>
    <col min="15367" max="15367" width="14.42578125" style="1" customWidth="1"/>
    <col min="15368" max="15617" width="8.7109375" style="1"/>
    <col min="15618" max="15622" width="13.42578125" style="1" customWidth="1"/>
    <col min="15623" max="15623" width="14.42578125" style="1" customWidth="1"/>
    <col min="15624" max="15873" width="8.7109375" style="1"/>
    <col min="15874" max="15878" width="13.42578125" style="1" customWidth="1"/>
    <col min="15879" max="15879" width="14.42578125" style="1" customWidth="1"/>
    <col min="15880" max="16129" width="8.7109375" style="1"/>
    <col min="16130" max="16134" width="13.42578125" style="1" customWidth="1"/>
    <col min="16135" max="16135" width="14.42578125" style="1" customWidth="1"/>
    <col min="16136" max="16384" width="8.7109375" style="1"/>
  </cols>
  <sheetData>
    <row r="9" spans="2:6" ht="31.5" x14ac:dyDescent="0.5">
      <c r="B9" s="348" t="s">
        <v>196</v>
      </c>
      <c r="C9" s="348"/>
      <c r="D9" s="348"/>
      <c r="E9" s="348"/>
      <c r="F9" s="348"/>
    </row>
    <row r="13" spans="2:6" x14ac:dyDescent="0.25">
      <c r="D13" s="10" t="s">
        <v>189</v>
      </c>
    </row>
    <row r="14" spans="2:6" x14ac:dyDescent="0.25">
      <c r="D14" s="287" t="s">
        <v>190</v>
      </c>
    </row>
    <row r="15" spans="2:6" x14ac:dyDescent="0.25">
      <c r="D15" s="287" t="s">
        <v>191</v>
      </c>
    </row>
    <row r="16" spans="2:6" x14ac:dyDescent="0.25">
      <c r="D16" s="287" t="s">
        <v>192</v>
      </c>
    </row>
    <row r="17" spans="2:6" x14ac:dyDescent="0.25">
      <c r="D17" s="287" t="s">
        <v>193</v>
      </c>
    </row>
    <row r="18" spans="2:6" x14ac:dyDescent="0.25">
      <c r="D18" s="287" t="s">
        <v>194</v>
      </c>
    </row>
    <row r="19" spans="2:6" x14ac:dyDescent="0.25">
      <c r="D19" s="287" t="s">
        <v>195</v>
      </c>
    </row>
    <row r="23" spans="2:6" x14ac:dyDescent="0.25">
      <c r="B23" s="349" t="s">
        <v>200</v>
      </c>
      <c r="C23" s="349"/>
      <c r="D23" s="349"/>
      <c r="E23" s="349"/>
      <c r="F23" s="349"/>
    </row>
  </sheetData>
  <sheetProtection sheet="1" objects="1" scenarios="1"/>
  <mergeCells count="2">
    <mergeCell ref="B9:F9"/>
    <mergeCell ref="B23:F23"/>
  </mergeCells>
  <hyperlinks>
    <hyperlink ref="D17" r:id="rId1" display="mailto:fjabello@tamu.edu" xr:uid="{B784C1C3-D131-4D8F-8453-08EAE74B0AF6}"/>
  </hyperlinks>
  <pageMargins left="0.7" right="0.7" top="0.75" bottom="0.75" header="0.3" footer="0.3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2C227-0838-49C2-90CB-DEBB92BF9D9C}">
  <dimension ref="B1:AP65"/>
  <sheetViews>
    <sheetView workbookViewId="0">
      <selection activeCell="G6" sqref="G6"/>
    </sheetView>
  </sheetViews>
  <sheetFormatPr defaultColWidth="8.85546875" defaultRowHeight="15" x14ac:dyDescent="0.25"/>
  <cols>
    <col min="1" max="1" width="3.7109375" style="1" customWidth="1"/>
    <col min="2" max="6" width="4.140625" style="1" customWidth="1"/>
    <col min="7" max="7" width="7.28515625" style="1" customWidth="1"/>
    <col min="8" max="8" width="2.42578125" style="1" customWidth="1"/>
    <col min="9" max="9" width="4.140625" style="1" customWidth="1"/>
    <col min="10" max="14" width="6.42578125" style="1" customWidth="1"/>
    <col min="15" max="15" width="2.5703125" style="1" customWidth="1"/>
    <col min="16" max="16" width="6" style="1" customWidth="1"/>
    <col min="17" max="21" width="5.85546875" style="1" customWidth="1"/>
    <col min="22" max="22" width="1.85546875" style="1" customWidth="1"/>
    <col min="23" max="23" width="4.140625" style="1" customWidth="1"/>
    <col min="24" max="28" width="6.5703125" style="1" customWidth="1"/>
    <col min="29" max="29" width="2.85546875" style="1" customWidth="1"/>
    <col min="30" max="30" width="4.140625" style="1" customWidth="1"/>
    <col min="31" max="35" width="6" style="1" customWidth="1"/>
    <col min="36" max="36" width="3.28515625" style="1" customWidth="1"/>
    <col min="37" max="37" width="4.140625" style="1" customWidth="1"/>
    <col min="38" max="42" width="5.85546875" style="1" customWidth="1"/>
    <col min="43" max="16384" width="8.85546875" style="1"/>
  </cols>
  <sheetData>
    <row r="1" spans="2:42" ht="15.75" thickBot="1" x14ac:dyDescent="0.3"/>
    <row r="2" spans="2:42" x14ac:dyDescent="0.25">
      <c r="B2" s="358" t="s">
        <v>57</v>
      </c>
      <c r="C2" s="359"/>
      <c r="D2" s="359"/>
      <c r="E2" s="359"/>
      <c r="F2" s="359"/>
      <c r="G2" s="360"/>
      <c r="H2" s="3"/>
      <c r="I2" s="358" t="s">
        <v>90</v>
      </c>
      <c r="J2" s="359"/>
      <c r="K2" s="359"/>
      <c r="L2" s="359"/>
      <c r="M2" s="359"/>
      <c r="N2" s="360"/>
      <c r="O2" s="10"/>
      <c r="P2" s="358" t="s">
        <v>91</v>
      </c>
      <c r="Q2" s="359"/>
      <c r="R2" s="359"/>
      <c r="S2" s="359"/>
      <c r="T2" s="359"/>
      <c r="U2" s="360"/>
      <c r="W2" s="358" t="s">
        <v>142</v>
      </c>
      <c r="X2" s="359"/>
      <c r="Y2" s="359"/>
      <c r="Z2" s="359"/>
      <c r="AA2" s="359"/>
      <c r="AB2" s="360"/>
      <c r="AD2" s="358" t="s">
        <v>137</v>
      </c>
      <c r="AE2" s="359"/>
      <c r="AF2" s="359"/>
      <c r="AG2" s="359"/>
      <c r="AH2" s="359"/>
      <c r="AI2" s="360"/>
      <c r="AK2" s="358" t="s">
        <v>124</v>
      </c>
      <c r="AL2" s="359"/>
      <c r="AM2" s="359"/>
      <c r="AN2" s="359"/>
      <c r="AO2" s="359"/>
      <c r="AP2" s="360"/>
    </row>
    <row r="3" spans="2:42" x14ac:dyDescent="0.25">
      <c r="B3" s="12" t="s">
        <v>84</v>
      </c>
      <c r="C3" s="16"/>
      <c r="D3" s="16"/>
      <c r="E3" s="16"/>
      <c r="F3" s="16"/>
      <c r="G3" s="45">
        <f>+'Wheat Grain'!D3</f>
        <v>40</v>
      </c>
      <c r="I3" s="12" t="s">
        <v>84</v>
      </c>
      <c r="J3" s="16"/>
      <c r="K3" s="16"/>
      <c r="L3" s="16"/>
      <c r="M3" s="16"/>
      <c r="N3" s="45">
        <f>+'Wheat Dual  ~700Lb'!D3</f>
        <v>35</v>
      </c>
      <c r="O3" s="2"/>
      <c r="P3" s="12" t="s">
        <v>84</v>
      </c>
      <c r="Q3" s="16"/>
      <c r="R3" s="16"/>
      <c r="S3" s="16"/>
      <c r="T3" s="16"/>
      <c r="U3" s="45">
        <f>+'Wheat Dual ~800Lb'!D3</f>
        <v>35</v>
      </c>
      <c r="W3" s="83"/>
      <c r="X3" s="84"/>
      <c r="Y3" s="84"/>
      <c r="Z3" s="84"/>
      <c r="AA3" s="84"/>
      <c r="AB3" s="45"/>
      <c r="AD3" s="83"/>
      <c r="AE3" s="84"/>
      <c r="AF3" s="84"/>
      <c r="AG3" s="84"/>
      <c r="AH3" s="84"/>
      <c r="AI3" s="45"/>
      <c r="AK3" s="83"/>
      <c r="AL3" s="84"/>
      <c r="AM3" s="84"/>
      <c r="AN3" s="84"/>
      <c r="AO3" s="84"/>
      <c r="AP3" s="45"/>
    </row>
    <row r="4" spans="2:42" x14ac:dyDescent="0.25">
      <c r="B4" s="12"/>
      <c r="C4" s="16"/>
      <c r="D4" s="16"/>
      <c r="E4" s="16"/>
      <c r="F4" s="16"/>
      <c r="G4" s="45"/>
      <c r="I4" s="12"/>
      <c r="J4" s="16"/>
      <c r="K4" s="16"/>
      <c r="L4" s="16"/>
      <c r="M4" s="16"/>
      <c r="N4" s="45"/>
      <c r="O4" s="2"/>
      <c r="P4" s="12" t="s">
        <v>85</v>
      </c>
      <c r="Q4" s="16"/>
      <c r="R4" s="16"/>
      <c r="S4" s="16"/>
      <c r="T4" s="16"/>
      <c r="U4" s="45">
        <f>+'Wheat Dual ~800Lb'!D4+'Wheat Dual ~800Lb'!D5</f>
        <v>137.72500000000002</v>
      </c>
      <c r="W4" s="83"/>
      <c r="X4" s="84"/>
      <c r="Y4" s="84"/>
      <c r="Z4" s="84"/>
      <c r="AA4" s="84"/>
      <c r="AB4" s="45"/>
      <c r="AD4" s="83"/>
      <c r="AE4" s="84"/>
      <c r="AF4" s="84"/>
      <c r="AG4" s="84"/>
      <c r="AH4" s="84"/>
      <c r="AI4" s="45"/>
      <c r="AK4" s="83" t="s">
        <v>85</v>
      </c>
      <c r="AL4" s="84"/>
      <c r="AM4" s="84"/>
      <c r="AN4" s="84"/>
      <c r="AO4" s="84"/>
      <c r="AP4" s="45">
        <f>+'Fescue Established'!K4</f>
        <v>211.0497191011236</v>
      </c>
    </row>
    <row r="5" spans="2:42" x14ac:dyDescent="0.25">
      <c r="B5" s="12" t="s">
        <v>60</v>
      </c>
      <c r="C5" s="16"/>
      <c r="D5" s="16"/>
      <c r="E5" s="16"/>
      <c r="F5" s="16"/>
      <c r="G5" s="49">
        <f>+Assumptions!F14</f>
        <v>9.5</v>
      </c>
      <c r="I5" s="12" t="s">
        <v>60</v>
      </c>
      <c r="J5" s="16"/>
      <c r="K5" s="16"/>
      <c r="L5" s="16"/>
      <c r="M5" s="16"/>
      <c r="N5" s="49">
        <f>+G5</f>
        <v>9.5</v>
      </c>
      <c r="P5" s="12" t="s">
        <v>60</v>
      </c>
      <c r="Q5" s="16"/>
      <c r="R5" s="16"/>
      <c r="S5" s="16"/>
      <c r="T5" s="16"/>
      <c r="U5" s="101">
        <f>+N5</f>
        <v>9.5</v>
      </c>
      <c r="W5" s="83" t="s">
        <v>146</v>
      </c>
      <c r="X5" s="84"/>
      <c r="Y5" s="84"/>
      <c r="Z5" s="84"/>
      <c r="AA5" s="84"/>
      <c r="AB5" s="85">
        <f>1-AB7</f>
        <v>0.41208791208791207</v>
      </c>
      <c r="AD5" s="83" t="s">
        <v>147</v>
      </c>
      <c r="AE5" s="84"/>
      <c r="AF5" s="84"/>
      <c r="AG5" s="84"/>
      <c r="AH5" s="84"/>
      <c r="AI5" s="50">
        <f>+'Wheat Dual ~800Lb'!Q16</f>
        <v>0.32809371523915465</v>
      </c>
      <c r="AK5" s="83"/>
      <c r="AL5" s="84"/>
      <c r="AM5" s="84"/>
      <c r="AN5" s="84"/>
      <c r="AO5" s="84"/>
      <c r="AP5" s="40"/>
    </row>
    <row r="6" spans="2:42" x14ac:dyDescent="0.25">
      <c r="B6" s="12"/>
      <c r="C6" s="16"/>
      <c r="D6" s="16"/>
      <c r="E6" s="16"/>
      <c r="F6" s="16"/>
      <c r="G6" s="49"/>
      <c r="I6" s="12"/>
      <c r="J6" s="16"/>
      <c r="K6" s="16"/>
      <c r="L6" s="16"/>
      <c r="M6" s="16"/>
      <c r="N6" s="49"/>
      <c r="P6" s="12" t="s">
        <v>149</v>
      </c>
      <c r="Q6" s="16"/>
      <c r="R6" s="16"/>
      <c r="S6" s="16"/>
      <c r="T6" s="16"/>
      <c r="U6" s="50">
        <f>1-U7</f>
        <v>0.375</v>
      </c>
      <c r="W6" s="83" t="s">
        <v>146</v>
      </c>
      <c r="X6" s="84"/>
      <c r="Y6" s="84"/>
      <c r="Z6" s="84"/>
      <c r="AA6" s="84"/>
      <c r="AB6" s="167">
        <f>1-AB7</f>
        <v>0.41208791208791207</v>
      </c>
      <c r="AD6" s="83" t="s">
        <v>147</v>
      </c>
      <c r="AE6" s="84"/>
      <c r="AF6" s="84"/>
      <c r="AG6" s="84"/>
      <c r="AH6" s="84"/>
      <c r="AI6" s="167">
        <f>1-AI7</f>
        <v>0.32809371523915465</v>
      </c>
      <c r="AK6" s="83"/>
      <c r="AL6" s="84"/>
      <c r="AM6" s="84"/>
      <c r="AN6" s="84"/>
      <c r="AO6" s="84"/>
      <c r="AP6" s="85"/>
    </row>
    <row r="7" spans="2:42" x14ac:dyDescent="0.25">
      <c r="B7" s="12" t="s">
        <v>63</v>
      </c>
      <c r="C7" s="16"/>
      <c r="D7" s="16"/>
      <c r="E7" s="16"/>
      <c r="F7" s="16"/>
      <c r="G7" s="50">
        <v>1</v>
      </c>
      <c r="I7" s="12" t="s">
        <v>63</v>
      </c>
      <c r="J7" s="16"/>
      <c r="K7" s="16"/>
      <c r="L7" s="16"/>
      <c r="M7" s="16"/>
      <c r="N7" s="50">
        <v>1</v>
      </c>
      <c r="P7" s="12" t="s">
        <v>63</v>
      </c>
      <c r="Q7" s="16"/>
      <c r="R7" s="16"/>
      <c r="S7" s="16"/>
      <c r="T7" s="16"/>
      <c r="U7" s="51">
        <f>+'Wheat Dual ~800Lb'!H3</f>
        <v>0.625</v>
      </c>
      <c r="W7" s="83" t="s">
        <v>143</v>
      </c>
      <c r="X7" s="84"/>
      <c r="Y7" s="84"/>
      <c r="Z7" s="84"/>
      <c r="AA7" s="84"/>
      <c r="AB7" s="85">
        <f>1-'Wheat Dual ~800Lb'!Q26</f>
        <v>0.58791208791208793</v>
      </c>
      <c r="AD7" s="83" t="s">
        <v>143</v>
      </c>
      <c r="AE7" s="84"/>
      <c r="AF7" s="84"/>
      <c r="AG7" s="84"/>
      <c r="AH7" s="84"/>
      <c r="AI7" s="85">
        <f>1-'Wheat Dual ~800Lb'!Q16</f>
        <v>0.67190628476084535</v>
      </c>
      <c r="AK7" s="83"/>
      <c r="AL7" s="84"/>
      <c r="AM7" s="84"/>
      <c r="AN7" s="84"/>
      <c r="AO7" s="84"/>
      <c r="AP7" s="85"/>
    </row>
    <row r="8" spans="2:42" x14ac:dyDescent="0.25">
      <c r="B8" s="12" t="s">
        <v>64</v>
      </c>
      <c r="C8" s="16"/>
      <c r="D8" s="16"/>
      <c r="E8" s="16"/>
      <c r="F8" s="16"/>
      <c r="G8" s="54">
        <f>+G5*G3</f>
        <v>380</v>
      </c>
      <c r="I8" s="12" t="s">
        <v>64</v>
      </c>
      <c r="J8" s="16"/>
      <c r="K8" s="16"/>
      <c r="L8" s="16"/>
      <c r="M8" s="16"/>
      <c r="N8" s="54">
        <f>+N5*N3</f>
        <v>332.5</v>
      </c>
      <c r="O8" s="5"/>
      <c r="P8" s="12" t="s">
        <v>64</v>
      </c>
      <c r="Q8" s="16"/>
      <c r="R8" s="16"/>
      <c r="S8" s="16"/>
      <c r="T8" s="16"/>
      <c r="U8" s="54">
        <f>+U5*U3*U7</f>
        <v>207.8125</v>
      </c>
      <c r="W8" s="83" t="s">
        <v>64</v>
      </c>
      <c r="X8" s="84"/>
      <c r="Y8" s="84"/>
      <c r="Z8" s="84"/>
      <c r="AA8" s="84"/>
      <c r="AB8" s="58">
        <f>+U3*U5*AB7</f>
        <v>195.48076923076923</v>
      </c>
      <c r="AD8" s="83" t="s">
        <v>64</v>
      </c>
      <c r="AE8" s="84"/>
      <c r="AF8" s="84"/>
      <c r="AG8" s="84"/>
      <c r="AH8" s="84"/>
      <c r="AI8" s="58">
        <f>+U3*U5*AI7</f>
        <v>223.40883968298107</v>
      </c>
      <c r="AK8" s="83"/>
      <c r="AL8" s="84"/>
      <c r="AM8" s="84"/>
      <c r="AN8" s="84"/>
      <c r="AO8" s="84"/>
      <c r="AP8" s="101"/>
    </row>
    <row r="9" spans="2:42" x14ac:dyDescent="0.25">
      <c r="B9" s="12"/>
      <c r="C9" s="16"/>
      <c r="D9" s="16"/>
      <c r="E9" s="16"/>
      <c r="F9" s="16"/>
      <c r="G9" s="39"/>
      <c r="I9" s="164" t="s">
        <v>65</v>
      </c>
      <c r="J9" s="165"/>
      <c r="K9" s="165"/>
      <c r="L9" s="165"/>
      <c r="M9" s="165"/>
      <c r="N9" s="166">
        <f>+'Wheat Dual  ~700Lb'!G4+'Wheat Dual  ~700Lb'!N9</f>
        <v>89.125</v>
      </c>
      <c r="O9" s="5"/>
      <c r="P9" s="164" t="s">
        <v>65</v>
      </c>
      <c r="Q9" s="165"/>
      <c r="R9" s="165"/>
      <c r="S9" s="165"/>
      <c r="T9" s="165"/>
      <c r="U9" s="166">
        <f>+'Wheat Dual ~800Lb'!G4+'Wheat Dual ~800Lb'!G5</f>
        <v>89.521250000000009</v>
      </c>
      <c r="W9" s="160" t="s">
        <v>150</v>
      </c>
      <c r="X9" s="161"/>
      <c r="Y9" s="161"/>
      <c r="Z9" s="161"/>
      <c r="AA9" s="161"/>
      <c r="AB9" s="162">
        <f>+('Wheat Dual ~800Lb'!M25*'Wheat Dual ~800Lb'!N25)+('Wheat Dual ~800Lb'!M26*'Wheat Dual ~800Lb'!N26*'Wheat Dual ~800Lb'!Q26)</f>
        <v>75.748750000000015</v>
      </c>
      <c r="AD9" s="160" t="s">
        <v>65</v>
      </c>
      <c r="AE9" s="161"/>
      <c r="AF9" s="161"/>
      <c r="AG9" s="161"/>
      <c r="AH9" s="161"/>
      <c r="AI9" s="162">
        <f>+AB9</f>
        <v>75.748750000000015</v>
      </c>
      <c r="AK9" s="83" t="s">
        <v>65</v>
      </c>
      <c r="AL9" s="84"/>
      <c r="AM9" s="84"/>
      <c r="AN9" s="84"/>
      <c r="AO9" s="84"/>
      <c r="AP9" s="58">
        <f>+'Fescue Established'!G4</f>
        <v>137.18231741573035</v>
      </c>
    </row>
    <row r="10" spans="2:42" x14ac:dyDescent="0.25">
      <c r="B10" s="42" t="s">
        <v>72</v>
      </c>
      <c r="C10" s="55"/>
      <c r="D10" s="55"/>
      <c r="E10" s="55"/>
      <c r="F10" s="55"/>
      <c r="G10" s="57">
        <f>+G8+G9</f>
        <v>380</v>
      </c>
      <c r="I10" s="42" t="s">
        <v>72</v>
      </c>
      <c r="J10" s="55"/>
      <c r="K10" s="55"/>
      <c r="L10" s="55"/>
      <c r="M10" s="55"/>
      <c r="N10" s="57">
        <f>+N8+N9</f>
        <v>421.625</v>
      </c>
      <c r="O10" s="6"/>
      <c r="P10" s="42" t="s">
        <v>72</v>
      </c>
      <c r="Q10" s="55"/>
      <c r="R10" s="55"/>
      <c r="S10" s="55"/>
      <c r="T10" s="55"/>
      <c r="U10" s="57">
        <f>+U8+U9</f>
        <v>297.33375000000001</v>
      </c>
      <c r="W10" s="42" t="s">
        <v>72</v>
      </c>
      <c r="X10" s="55"/>
      <c r="Y10" s="55"/>
      <c r="Z10" s="55"/>
      <c r="AA10" s="55"/>
      <c r="AB10" s="57">
        <f>+AB8+AB9</f>
        <v>271.22951923076926</v>
      </c>
      <c r="AD10" s="42" t="s">
        <v>72</v>
      </c>
      <c r="AE10" s="55"/>
      <c r="AF10" s="55"/>
      <c r="AG10" s="55"/>
      <c r="AH10" s="55"/>
      <c r="AI10" s="57">
        <f>+AI8+AI9</f>
        <v>299.1575896829811</v>
      </c>
      <c r="AK10" s="42" t="s">
        <v>72</v>
      </c>
      <c r="AL10" s="55"/>
      <c r="AM10" s="55"/>
      <c r="AN10" s="55"/>
      <c r="AO10" s="55"/>
      <c r="AP10" s="57">
        <f>+AP8+AP9</f>
        <v>137.18231741573035</v>
      </c>
    </row>
    <row r="11" spans="2:42" x14ac:dyDescent="0.25">
      <c r="B11" s="12"/>
      <c r="C11" s="16"/>
      <c r="D11" s="16"/>
      <c r="E11" s="16"/>
      <c r="F11" s="16"/>
      <c r="G11" s="13"/>
      <c r="I11" s="12"/>
      <c r="J11" s="16"/>
      <c r="K11" s="16"/>
      <c r="L11" s="16"/>
      <c r="M11" s="16"/>
      <c r="N11" s="13"/>
      <c r="P11" s="12"/>
      <c r="Q11" s="16"/>
      <c r="R11" s="16"/>
      <c r="S11" s="16"/>
      <c r="T11" s="16"/>
      <c r="U11" s="13"/>
      <c r="X11" s="84"/>
      <c r="Y11" s="84"/>
      <c r="Z11" s="84"/>
      <c r="AA11" s="84"/>
      <c r="AD11" s="83"/>
      <c r="AE11" s="84"/>
      <c r="AF11" s="84"/>
      <c r="AG11" s="84"/>
      <c r="AH11" s="84"/>
      <c r="AI11" s="86"/>
      <c r="AK11" s="83"/>
      <c r="AL11" s="84"/>
      <c r="AM11" s="84"/>
      <c r="AN11" s="84"/>
      <c r="AO11" s="84"/>
      <c r="AP11" s="86"/>
    </row>
    <row r="12" spans="2:42" x14ac:dyDescent="0.25">
      <c r="B12" s="12" t="s">
        <v>11</v>
      </c>
      <c r="C12" s="16"/>
      <c r="D12" s="16"/>
      <c r="E12" s="16"/>
      <c r="F12" s="16"/>
      <c r="G12" s="58">
        <f>+'Wheat Grain'!G22</f>
        <v>196.09787499999999</v>
      </c>
      <c r="I12" s="12" t="s">
        <v>11</v>
      </c>
      <c r="J12" s="16"/>
      <c r="K12" s="16"/>
      <c r="L12" s="16"/>
      <c r="M12" s="16"/>
      <c r="N12" s="58">
        <f>+'Wheat Dual  ~700Lb'!G22</f>
        <v>220.943095</v>
      </c>
      <c r="O12" s="5"/>
      <c r="P12" s="12" t="s">
        <v>11</v>
      </c>
      <c r="Q12" s="16"/>
      <c r="R12" s="16"/>
      <c r="S12" s="16"/>
      <c r="T12" s="16"/>
      <c r="U12" s="58">
        <f>+'Wheat Dual ~800Lb'!G22</f>
        <v>220.943095</v>
      </c>
      <c r="W12" s="83" t="s">
        <v>144</v>
      </c>
      <c r="X12" s="84"/>
      <c r="Y12" s="84"/>
      <c r="Z12" s="84"/>
      <c r="AA12" s="84"/>
      <c r="AB12" s="58">
        <f>+'Fescue Established'!G22*(1-AB7)</f>
        <v>19.861774853053923</v>
      </c>
      <c r="AD12" s="83" t="s">
        <v>148</v>
      </c>
      <c r="AE12" s="84"/>
      <c r="AF12" s="84"/>
      <c r="AG12" s="84"/>
      <c r="AH12" s="84"/>
      <c r="AI12" s="58">
        <f>+Triticale!G22*AI5</f>
        <v>46.991837540844003</v>
      </c>
      <c r="AK12" s="83" t="s">
        <v>11</v>
      </c>
      <c r="AL12" s="84"/>
      <c r="AM12" s="84"/>
      <c r="AN12" s="84"/>
      <c r="AO12" s="84"/>
      <c r="AP12" s="58">
        <f>+'Fescue Established'!G22</f>
        <v>48.197906976744186</v>
      </c>
    </row>
    <row r="13" spans="2:42" x14ac:dyDescent="0.25">
      <c r="B13" s="12" t="s">
        <v>61</v>
      </c>
      <c r="C13" s="16"/>
      <c r="D13" s="16"/>
      <c r="E13" s="16"/>
      <c r="F13" s="16"/>
      <c r="G13" s="58">
        <f>+'Wheat Grain'!G27</f>
        <v>49.6</v>
      </c>
      <c r="I13" s="12" t="s">
        <v>61</v>
      </c>
      <c r="J13" s="16"/>
      <c r="K13" s="16"/>
      <c r="L13" s="16"/>
      <c r="M13" s="16"/>
      <c r="N13" s="58">
        <f>+'Wheat Dual  ~700Lb'!G24</f>
        <v>49.6</v>
      </c>
      <c r="O13" s="5"/>
      <c r="P13" s="12" t="s">
        <v>61</v>
      </c>
      <c r="Q13" s="16"/>
      <c r="R13" s="16"/>
      <c r="S13" s="16"/>
      <c r="T13" s="16"/>
      <c r="U13" s="58">
        <f>+'Wheat Dual ~800Lb'!G24</f>
        <v>31</v>
      </c>
      <c r="W13" s="83" t="s">
        <v>145</v>
      </c>
      <c r="AB13" s="58">
        <f>+U12*AB7+N13*AB7</f>
        <v>159.05555585164836</v>
      </c>
      <c r="AD13" s="83" t="s">
        <v>145</v>
      </c>
      <c r="AE13" s="84"/>
      <c r="AF13" s="84"/>
      <c r="AG13" s="84"/>
      <c r="AH13" s="84"/>
      <c r="AI13" s="58">
        <f>+N12*AI7</f>
        <v>148.45305410501251</v>
      </c>
      <c r="AK13" s="83"/>
      <c r="AL13" s="84"/>
      <c r="AM13" s="84"/>
      <c r="AN13" s="84"/>
      <c r="AO13" s="84"/>
      <c r="AP13" s="58"/>
    </row>
    <row r="14" spans="2:42" x14ac:dyDescent="0.25">
      <c r="B14" s="41" t="s">
        <v>33</v>
      </c>
      <c r="C14" s="47"/>
      <c r="D14" s="47"/>
      <c r="E14" s="47"/>
      <c r="F14" s="47"/>
      <c r="G14" s="59">
        <f>+G12+G13</f>
        <v>245.69787499999998</v>
      </c>
      <c r="I14" s="41" t="s">
        <v>33</v>
      </c>
      <c r="J14" s="47"/>
      <c r="K14" s="47"/>
      <c r="L14" s="47"/>
      <c r="M14" s="47"/>
      <c r="N14" s="59">
        <f>+N12+N13</f>
        <v>270.54309499999999</v>
      </c>
      <c r="O14" s="6"/>
      <c r="P14" s="41" t="s">
        <v>33</v>
      </c>
      <c r="Q14" s="47"/>
      <c r="R14" s="47"/>
      <c r="S14" s="47"/>
      <c r="T14" s="47"/>
      <c r="U14" s="59">
        <f>+U12+U13</f>
        <v>251.943095</v>
      </c>
      <c r="W14" s="87" t="s">
        <v>33</v>
      </c>
      <c r="X14" s="88"/>
      <c r="Y14" s="88"/>
      <c r="Z14" s="88"/>
      <c r="AA14" s="88"/>
      <c r="AB14" s="89">
        <f>+AB12+AB13</f>
        <v>178.91733070470229</v>
      </c>
      <c r="AD14" s="87" t="s">
        <v>33</v>
      </c>
      <c r="AE14" s="88"/>
      <c r="AF14" s="88"/>
      <c r="AG14" s="88"/>
      <c r="AH14" s="88"/>
      <c r="AI14" s="89">
        <f>+AI12+AI13</f>
        <v>195.4448916458565</v>
      </c>
      <c r="AK14" s="87" t="s">
        <v>33</v>
      </c>
      <c r="AL14" s="88"/>
      <c r="AM14" s="88"/>
      <c r="AN14" s="88"/>
      <c r="AO14" s="88"/>
      <c r="AP14" s="89">
        <f>+AP12+AP13</f>
        <v>48.197906976744186</v>
      </c>
    </row>
    <row r="15" spans="2:42" x14ac:dyDescent="0.25">
      <c r="B15" s="12"/>
      <c r="C15" s="16"/>
      <c r="D15" s="16"/>
      <c r="E15" s="16"/>
      <c r="F15" s="16"/>
      <c r="G15" s="13"/>
      <c r="I15" s="12"/>
      <c r="J15" s="16"/>
      <c r="K15" s="16"/>
      <c r="L15" s="16"/>
      <c r="M15" s="16"/>
      <c r="N15" s="13"/>
      <c r="P15" s="12"/>
      <c r="Q15" s="16"/>
      <c r="R15" s="16"/>
      <c r="S15" s="16"/>
      <c r="T15" s="16"/>
      <c r="U15" s="13"/>
      <c r="W15" s="83"/>
      <c r="X15" s="84"/>
      <c r="Y15" s="84"/>
      <c r="Z15" s="84"/>
      <c r="AA15" s="84"/>
      <c r="AB15" s="86"/>
      <c r="AD15" s="83"/>
      <c r="AE15" s="84"/>
      <c r="AF15" s="84"/>
      <c r="AG15" s="84"/>
      <c r="AH15" s="84"/>
      <c r="AI15" s="86"/>
      <c r="AK15" s="83"/>
      <c r="AL15" s="84"/>
      <c r="AM15" s="84"/>
      <c r="AN15" s="84"/>
      <c r="AO15" s="84"/>
      <c r="AP15" s="86"/>
    </row>
    <row r="16" spans="2:42" x14ac:dyDescent="0.25">
      <c r="B16" s="42" t="s">
        <v>74</v>
      </c>
      <c r="C16" s="55"/>
      <c r="D16" s="55"/>
      <c r="E16" s="55"/>
      <c r="F16" s="55"/>
      <c r="G16" s="97">
        <f>+G10-G14</f>
        <v>134.30212500000002</v>
      </c>
      <c r="H16" s="3"/>
      <c r="I16" s="42" t="s">
        <v>74</v>
      </c>
      <c r="J16" s="55"/>
      <c r="K16" s="55"/>
      <c r="L16" s="55"/>
      <c r="M16" s="55"/>
      <c r="N16" s="77">
        <f>+N10-N14</f>
        <v>151.08190500000001</v>
      </c>
      <c r="O16" s="6"/>
      <c r="P16" s="42" t="s">
        <v>74</v>
      </c>
      <c r="Q16" s="55"/>
      <c r="R16" s="55"/>
      <c r="S16" s="55"/>
      <c r="T16" s="55"/>
      <c r="U16" s="97">
        <f>+U10-U14</f>
        <v>45.39065500000001</v>
      </c>
      <c r="W16" s="42" t="s">
        <v>74</v>
      </c>
      <c r="X16" s="55"/>
      <c r="Y16" s="55"/>
      <c r="Z16" s="55"/>
      <c r="AA16" s="55"/>
      <c r="AB16" s="97">
        <f>+AB10-AB14</f>
        <v>92.312188526066961</v>
      </c>
      <c r="AD16" s="42" t="s">
        <v>74</v>
      </c>
      <c r="AE16" s="55"/>
      <c r="AF16" s="55"/>
      <c r="AG16" s="55"/>
      <c r="AH16" s="55"/>
      <c r="AI16" s="97">
        <f>+AI10-AI14</f>
        <v>103.7126980371246</v>
      </c>
      <c r="AK16" s="42" t="s">
        <v>74</v>
      </c>
      <c r="AL16" s="55"/>
      <c r="AM16" s="55"/>
      <c r="AN16" s="55"/>
      <c r="AO16" s="55"/>
      <c r="AP16" s="97">
        <f>+AP10-AP14</f>
        <v>88.984410438986174</v>
      </c>
    </row>
    <row r="17" spans="2:42" x14ac:dyDescent="0.25">
      <c r="B17" s="12"/>
      <c r="C17" s="16"/>
      <c r="D17" s="16"/>
      <c r="E17" s="16"/>
      <c r="F17" s="16"/>
      <c r="G17" s="13"/>
      <c r="I17" s="12"/>
      <c r="J17" s="16"/>
      <c r="K17" s="16"/>
      <c r="L17" s="16"/>
      <c r="M17" s="16"/>
      <c r="N17" s="13"/>
      <c r="P17" s="12"/>
      <c r="Q17" s="16"/>
      <c r="R17" s="16"/>
      <c r="S17" s="16"/>
      <c r="T17" s="16"/>
      <c r="U17" s="78"/>
      <c r="W17" s="83"/>
      <c r="X17" s="84"/>
      <c r="Y17" s="84"/>
      <c r="Z17" s="84"/>
      <c r="AA17" s="84"/>
      <c r="AB17" s="79"/>
      <c r="AD17" s="83"/>
      <c r="AE17" s="84"/>
      <c r="AF17" s="84"/>
      <c r="AG17" s="84"/>
      <c r="AH17" s="84"/>
      <c r="AI17" s="79"/>
      <c r="AK17" s="83"/>
      <c r="AL17" s="84"/>
      <c r="AM17" s="84"/>
      <c r="AN17" s="84"/>
      <c r="AO17" s="84"/>
      <c r="AP17" s="79"/>
    </row>
    <row r="18" spans="2:42" x14ac:dyDescent="0.25">
      <c r="B18" s="12" t="s">
        <v>62</v>
      </c>
      <c r="C18" s="16"/>
      <c r="D18" s="16"/>
      <c r="E18" s="16"/>
      <c r="F18" s="16"/>
      <c r="G18" s="58">
        <f>+'Wheat Grain'!G47</f>
        <v>64.67</v>
      </c>
      <c r="I18" s="12" t="s">
        <v>62</v>
      </c>
      <c r="J18" s="16"/>
      <c r="K18" s="16"/>
      <c r="L18" s="16"/>
      <c r="M18" s="16"/>
      <c r="N18" s="58">
        <f>+'Wheat Dual  ~700Lb'!G47</f>
        <v>64.67</v>
      </c>
      <c r="O18" s="5"/>
      <c r="P18" s="12" t="s">
        <v>62</v>
      </c>
      <c r="Q18" s="16"/>
      <c r="R18" s="16"/>
      <c r="S18" s="16"/>
      <c r="T18" s="16"/>
      <c r="U18" s="99">
        <f>+'Wheat Dual ~800Lb'!G47</f>
        <v>64.67</v>
      </c>
      <c r="W18" s="83" t="s">
        <v>62</v>
      </c>
      <c r="X18" s="84"/>
      <c r="Y18" s="84"/>
      <c r="Z18" s="84"/>
      <c r="AA18" s="84"/>
      <c r="AB18" s="99">
        <f>+'Fescue Established'!G47*AB5+U18*AB7</f>
        <v>72.273910542582414</v>
      </c>
      <c r="AD18" s="83" t="s">
        <v>62</v>
      </c>
      <c r="AE18" s="84"/>
      <c r="AF18" s="84"/>
      <c r="AG18" s="84"/>
      <c r="AH18" s="84"/>
      <c r="AI18" s="99">
        <f>+Triticale!G47*AI5+U18*AI7</f>
        <v>58.196710998331483</v>
      </c>
      <c r="AK18" s="83" t="s">
        <v>62</v>
      </c>
      <c r="AL18" s="84"/>
      <c r="AM18" s="84"/>
      <c r="AN18" s="84"/>
      <c r="AO18" s="84"/>
      <c r="AP18" s="99">
        <f>+'Fescue Established'!G47</f>
        <v>83.122156250000003</v>
      </c>
    </row>
    <row r="19" spans="2:42" x14ac:dyDescent="0.25">
      <c r="B19" s="12"/>
      <c r="C19" s="16"/>
      <c r="D19" s="16"/>
      <c r="E19" s="16"/>
      <c r="F19" s="16"/>
      <c r="G19" s="54"/>
      <c r="I19" s="12"/>
      <c r="J19" s="16"/>
      <c r="K19" s="16"/>
      <c r="L19" s="16"/>
      <c r="M19" s="16"/>
      <c r="N19" s="54"/>
      <c r="P19" s="12"/>
      <c r="Q19" s="16"/>
      <c r="R19" s="16"/>
      <c r="S19" s="16"/>
      <c r="T19" s="16"/>
      <c r="U19" s="100"/>
      <c r="W19" s="83"/>
      <c r="X19" s="84"/>
      <c r="Y19" s="84"/>
      <c r="Z19" s="84"/>
      <c r="AA19" s="84"/>
      <c r="AB19" s="79"/>
      <c r="AD19" s="83"/>
      <c r="AE19" s="84"/>
      <c r="AF19" s="84"/>
      <c r="AG19" s="84"/>
      <c r="AH19" s="84"/>
      <c r="AI19" s="79"/>
      <c r="AK19" s="83"/>
      <c r="AL19" s="84"/>
      <c r="AM19" s="84"/>
      <c r="AN19" s="84"/>
      <c r="AO19" s="84"/>
      <c r="AP19" s="79"/>
    </row>
    <row r="20" spans="2:42" ht="15.75" thickBot="1" x14ac:dyDescent="0.3">
      <c r="B20" s="44" t="s">
        <v>73</v>
      </c>
      <c r="C20" s="56"/>
      <c r="D20" s="56"/>
      <c r="E20" s="56"/>
      <c r="F20" s="56"/>
      <c r="G20" s="98">
        <f>+G16-G18</f>
        <v>69.632125000000016</v>
      </c>
      <c r="I20" s="44" t="s">
        <v>73</v>
      </c>
      <c r="J20" s="56"/>
      <c r="K20" s="56"/>
      <c r="L20" s="56"/>
      <c r="M20" s="56"/>
      <c r="N20" s="98">
        <f>+N16-N18</f>
        <v>86.411905000000004</v>
      </c>
      <c r="O20" s="5"/>
      <c r="P20" s="44" t="s">
        <v>73</v>
      </c>
      <c r="Q20" s="56"/>
      <c r="R20" s="56"/>
      <c r="S20" s="56"/>
      <c r="T20" s="56"/>
      <c r="U20" s="98">
        <f>+U16-U18</f>
        <v>-19.279344999999992</v>
      </c>
      <c r="W20" s="44" t="s">
        <v>73</v>
      </c>
      <c r="X20" s="56"/>
      <c r="Y20" s="56"/>
      <c r="Z20" s="56"/>
      <c r="AA20" s="56"/>
      <c r="AB20" s="98">
        <f>+AB16-AB18</f>
        <v>20.038277983484548</v>
      </c>
      <c r="AD20" s="44" t="s">
        <v>73</v>
      </c>
      <c r="AE20" s="56"/>
      <c r="AF20" s="56"/>
      <c r="AG20" s="56"/>
      <c r="AH20" s="56"/>
      <c r="AI20" s="98">
        <f>+AI16-AI18</f>
        <v>45.515987038793114</v>
      </c>
      <c r="AK20" s="44" t="s">
        <v>73</v>
      </c>
      <c r="AL20" s="56"/>
      <c r="AM20" s="56"/>
      <c r="AN20" s="56"/>
      <c r="AO20" s="56"/>
      <c r="AP20" s="98">
        <f>+AP16-AP18</f>
        <v>5.8622541889861708</v>
      </c>
    </row>
    <row r="21" spans="2:42" x14ac:dyDescent="0.25">
      <c r="U21" s="94"/>
    </row>
    <row r="22" spans="2:42" ht="4.9000000000000004" customHeight="1" thickBot="1" x14ac:dyDescent="0.3"/>
    <row r="23" spans="2:42" ht="16.5" thickTop="1" thickBot="1" x14ac:dyDescent="0.3">
      <c r="B23" s="352" t="s">
        <v>117</v>
      </c>
      <c r="C23" s="353"/>
      <c r="D23" s="353"/>
      <c r="E23" s="353"/>
      <c r="F23" s="353"/>
      <c r="G23" s="354"/>
      <c r="I23" s="352" t="s">
        <v>117</v>
      </c>
      <c r="J23" s="353"/>
      <c r="K23" s="353"/>
      <c r="L23" s="353"/>
      <c r="M23" s="353"/>
      <c r="N23" s="354"/>
      <c r="P23" s="352" t="s">
        <v>117</v>
      </c>
      <c r="Q23" s="353"/>
      <c r="R23" s="353"/>
      <c r="S23" s="353"/>
      <c r="T23" s="353"/>
      <c r="U23" s="354"/>
      <c r="W23" s="352" t="s">
        <v>117</v>
      </c>
      <c r="X23" s="353"/>
      <c r="Y23" s="353"/>
      <c r="Z23" s="353"/>
      <c r="AA23" s="353"/>
      <c r="AB23" s="354"/>
      <c r="AD23" s="352" t="s">
        <v>117</v>
      </c>
      <c r="AE23" s="353"/>
      <c r="AF23" s="353"/>
      <c r="AG23" s="353"/>
      <c r="AH23" s="353"/>
      <c r="AI23" s="354"/>
    </row>
    <row r="24" spans="2:42" ht="15.75" thickTop="1" x14ac:dyDescent="0.25">
      <c r="B24" s="60" t="s">
        <v>58</v>
      </c>
      <c r="C24" s="361" t="s">
        <v>114</v>
      </c>
      <c r="D24" s="362"/>
      <c r="E24" s="362" t="s">
        <v>60</v>
      </c>
      <c r="F24" s="362"/>
      <c r="G24" s="363"/>
      <c r="I24" s="60" t="s">
        <v>58</v>
      </c>
      <c r="J24" s="361" t="s">
        <v>114</v>
      </c>
      <c r="K24" s="362"/>
      <c r="L24" s="362" t="s">
        <v>60</v>
      </c>
      <c r="M24" s="362"/>
      <c r="N24" s="363"/>
      <c r="O24" s="7"/>
      <c r="P24" s="60" t="s">
        <v>58</v>
      </c>
      <c r="Q24" s="361" t="s">
        <v>114</v>
      </c>
      <c r="R24" s="362"/>
      <c r="S24" s="362" t="s">
        <v>60</v>
      </c>
      <c r="T24" s="362"/>
      <c r="U24" s="363"/>
      <c r="W24" s="60" t="s">
        <v>58</v>
      </c>
      <c r="X24" s="361" t="s">
        <v>114</v>
      </c>
      <c r="Y24" s="362"/>
      <c r="Z24" s="362" t="s">
        <v>60</v>
      </c>
      <c r="AA24" s="362"/>
      <c r="AB24" s="363"/>
      <c r="AD24" s="60" t="s">
        <v>58</v>
      </c>
      <c r="AE24" s="361" t="s">
        <v>114</v>
      </c>
      <c r="AF24" s="362"/>
      <c r="AG24" s="362" t="s">
        <v>60</v>
      </c>
      <c r="AH24" s="362"/>
      <c r="AI24" s="363"/>
    </row>
    <row r="25" spans="2:42" ht="15.75" thickBot="1" x14ac:dyDescent="0.3">
      <c r="B25" s="61"/>
      <c r="C25" s="74">
        <f>+E25*0.9</f>
        <v>8.5500000000000007</v>
      </c>
      <c r="D25" s="75">
        <f>+E25*0.95</f>
        <v>9.0250000000000004</v>
      </c>
      <c r="E25" s="80">
        <f>+G5</f>
        <v>9.5</v>
      </c>
      <c r="F25" s="75">
        <f>+E25*1.05</f>
        <v>9.9749999999999996</v>
      </c>
      <c r="G25" s="76">
        <f>+E25*1.1</f>
        <v>10.450000000000001</v>
      </c>
      <c r="I25" s="61"/>
      <c r="J25" s="74">
        <f>+L25*0.9</f>
        <v>8.5500000000000007</v>
      </c>
      <c r="K25" s="75">
        <f>+L25*0.95</f>
        <v>9.0250000000000004</v>
      </c>
      <c r="L25" s="80">
        <f>+N5</f>
        <v>9.5</v>
      </c>
      <c r="M25" s="75">
        <f>+L25*1.05</f>
        <v>9.9749999999999996</v>
      </c>
      <c r="N25" s="76">
        <f>+L25*1.1</f>
        <v>10.450000000000001</v>
      </c>
      <c r="O25" s="9"/>
      <c r="P25" s="61"/>
      <c r="Q25" s="74">
        <f>+S25*0.9</f>
        <v>8.5500000000000007</v>
      </c>
      <c r="R25" s="75">
        <f>+S25*0.95</f>
        <v>9.0250000000000004</v>
      </c>
      <c r="S25" s="80">
        <f>+U5</f>
        <v>9.5</v>
      </c>
      <c r="T25" s="75">
        <f>+S25*1.05</f>
        <v>9.9749999999999996</v>
      </c>
      <c r="U25" s="76">
        <f>+S25*1.1</f>
        <v>10.450000000000001</v>
      </c>
      <c r="W25" s="61"/>
      <c r="X25" s="74">
        <f>+Q25</f>
        <v>8.5500000000000007</v>
      </c>
      <c r="Y25" s="74">
        <f>+R25</f>
        <v>9.0250000000000004</v>
      </c>
      <c r="Z25" s="74">
        <f>+S25</f>
        <v>9.5</v>
      </c>
      <c r="AA25" s="74">
        <f>+T25</f>
        <v>9.9749999999999996</v>
      </c>
      <c r="AB25" s="74">
        <f>+U25</f>
        <v>10.450000000000001</v>
      </c>
      <c r="AD25" s="61"/>
      <c r="AE25" s="74">
        <f>+X25</f>
        <v>8.5500000000000007</v>
      </c>
      <c r="AF25" s="74">
        <f>+Y25</f>
        <v>9.0250000000000004</v>
      </c>
      <c r="AG25" s="74">
        <f>+Z25</f>
        <v>9.5</v>
      </c>
      <c r="AH25" s="74">
        <f>+AA25</f>
        <v>9.9749999999999996</v>
      </c>
      <c r="AI25" s="74">
        <f>+AB25</f>
        <v>10.450000000000001</v>
      </c>
    </row>
    <row r="26" spans="2:42" ht="15.75" thickTop="1" x14ac:dyDescent="0.25">
      <c r="B26" s="62">
        <f>+B28*0.8</f>
        <v>32</v>
      </c>
      <c r="C26" s="63">
        <f t="shared" ref="C26:G30" si="0">+(C$25*$B26-$G$14-$G$18)</f>
        <v>-36.767874999999961</v>
      </c>
      <c r="D26" s="64">
        <f t="shared" si="0"/>
        <v>-21.567874999999972</v>
      </c>
      <c r="E26" s="64">
        <f t="shared" si="0"/>
        <v>-6.3678749999999837</v>
      </c>
      <c r="F26" s="64">
        <f t="shared" si="0"/>
        <v>8.8321250000000049</v>
      </c>
      <c r="G26" s="65">
        <f t="shared" si="0"/>
        <v>24.03212500000005</v>
      </c>
      <c r="I26" s="62">
        <f>+I28*0.8</f>
        <v>28</v>
      </c>
      <c r="J26" s="63">
        <f t="shared" ref="J26:N30" si="1">+(J$25*$I26+$N$9-$N$14-$N$18)</f>
        <v>-6.6880949999999615</v>
      </c>
      <c r="K26" s="64">
        <f t="shared" si="1"/>
        <v>6.6119050000000499</v>
      </c>
      <c r="L26" s="64">
        <f t="shared" si="1"/>
        <v>19.911905000000004</v>
      </c>
      <c r="M26" s="64">
        <f t="shared" si="1"/>
        <v>33.211905000000016</v>
      </c>
      <c r="N26" s="65">
        <f t="shared" si="1"/>
        <v>46.511905000000027</v>
      </c>
      <c r="P26" s="62">
        <f>+P28*0.8</f>
        <v>28</v>
      </c>
      <c r="Q26" s="63">
        <f t="shared" ref="Q26:U30" si="2">+(Q$25*$P26*$U$7+$U$9-$U$14-$U$18)</f>
        <v>-77.466844999999964</v>
      </c>
      <c r="R26" s="64">
        <f t="shared" si="2"/>
        <v>-69.154344999999992</v>
      </c>
      <c r="S26" s="64">
        <f t="shared" si="2"/>
        <v>-60.841844999999992</v>
      </c>
      <c r="T26" s="64">
        <f t="shared" si="2"/>
        <v>-52.529344999999992</v>
      </c>
      <c r="U26" s="65">
        <f t="shared" si="2"/>
        <v>-44.216844999999992</v>
      </c>
      <c r="W26" s="62">
        <f>+P26</f>
        <v>28</v>
      </c>
      <c r="X26" s="63">
        <f>+(X$25*$P26*$AB$7+$AB$9-$AB$14-$AB$18)</f>
        <v>-34.696337401130833</v>
      </c>
      <c r="Y26" s="64">
        <f t="shared" ref="Y26:AB26" si="3">+(Y$25*$P26*$AB$7+$AB$9-$AB$14-$AB$18)</f>
        <v>-26.877106631900048</v>
      </c>
      <c r="Z26" s="64">
        <f t="shared" si="3"/>
        <v>-19.05787586266932</v>
      </c>
      <c r="AA26" s="64">
        <f t="shared" si="3"/>
        <v>-11.238645093438535</v>
      </c>
      <c r="AB26" s="65">
        <f t="shared" si="3"/>
        <v>-3.4194143242077502</v>
      </c>
      <c r="AD26" s="62">
        <f>+W26</f>
        <v>28</v>
      </c>
      <c r="AE26" s="63">
        <f>+(AE$25*$P26*$AI$7+$AI$9-$AI$14-$AI$18)</f>
        <v>-17.038488072441581</v>
      </c>
      <c r="AF26" s="64">
        <f t="shared" ref="AF26:AI26" si="4">+(AF$25*$P26*$AI$7+$AI$9-$AI$14-$AI$18)</f>
        <v>-8.1021344851223631</v>
      </c>
      <c r="AG26" s="64">
        <f t="shared" si="4"/>
        <v>0.83421910219691142</v>
      </c>
      <c r="AH26" s="64">
        <f t="shared" si="4"/>
        <v>9.7705726895161291</v>
      </c>
      <c r="AI26" s="65">
        <f t="shared" si="4"/>
        <v>18.706926276835404</v>
      </c>
    </row>
    <row r="27" spans="2:42" ht="15.75" thickBot="1" x14ac:dyDescent="0.3">
      <c r="B27" s="66">
        <f>+B28*0.9</f>
        <v>36</v>
      </c>
      <c r="C27" s="67">
        <f t="shared" si="0"/>
        <v>-2.5678749999999724</v>
      </c>
      <c r="D27" s="68">
        <f t="shared" si="0"/>
        <v>14.53212500000005</v>
      </c>
      <c r="E27" s="135">
        <f t="shared" si="0"/>
        <v>31.632125000000016</v>
      </c>
      <c r="F27" s="68">
        <f t="shared" si="0"/>
        <v>48.732124999999982</v>
      </c>
      <c r="G27" s="69">
        <f t="shared" si="0"/>
        <v>65.832125000000062</v>
      </c>
      <c r="I27" s="66">
        <f>+I28*0.9</f>
        <v>31.5</v>
      </c>
      <c r="J27" s="67">
        <f t="shared" si="1"/>
        <v>23.23690500000005</v>
      </c>
      <c r="K27" s="68">
        <f t="shared" si="1"/>
        <v>38.199405000000027</v>
      </c>
      <c r="L27" s="135">
        <f t="shared" si="1"/>
        <v>53.161905000000004</v>
      </c>
      <c r="M27" s="68">
        <f t="shared" si="1"/>
        <v>68.124404999999982</v>
      </c>
      <c r="N27" s="69">
        <f t="shared" si="1"/>
        <v>83.086905000000016</v>
      </c>
      <c r="P27" s="66">
        <f>+P28*0.9</f>
        <v>31.5</v>
      </c>
      <c r="Q27" s="67">
        <f t="shared" si="2"/>
        <v>-58.763719999999992</v>
      </c>
      <c r="R27" s="68">
        <f t="shared" si="2"/>
        <v>-49.412157499999992</v>
      </c>
      <c r="S27" s="135">
        <f t="shared" si="2"/>
        <v>-40.060594999999992</v>
      </c>
      <c r="T27" s="68">
        <f t="shared" si="2"/>
        <v>-30.709032499999992</v>
      </c>
      <c r="U27" s="69">
        <f t="shared" si="2"/>
        <v>-21.357469999999992</v>
      </c>
      <c r="W27" s="62">
        <f>+P27</f>
        <v>31.5</v>
      </c>
      <c r="X27" s="67">
        <f t="shared" ref="X27:AB30" si="5">+(X$25*$P27*$AB$7+$AB$9-$AB$14-$AB$18)</f>
        <v>-17.103068170361595</v>
      </c>
      <c r="Y27" s="68">
        <f t="shared" si="5"/>
        <v>-8.3064335549769766</v>
      </c>
      <c r="Z27" s="135">
        <f t="shared" si="5"/>
        <v>0.49020106040764233</v>
      </c>
      <c r="AA27" s="68">
        <f t="shared" si="5"/>
        <v>9.2868356757922044</v>
      </c>
      <c r="AB27" s="69">
        <f t="shared" si="5"/>
        <v>18.08347029117688</v>
      </c>
      <c r="AD27" s="62">
        <f>+W27</f>
        <v>31.5</v>
      </c>
      <c r="AE27" s="67">
        <f t="shared" ref="AE27:AI30" si="6">+(AE$25*$P27*$AI$7+$AI$9-$AI$14-$AI$18)</f>
        <v>3.0683074990267158</v>
      </c>
      <c r="AF27" s="68">
        <f t="shared" si="6"/>
        <v>13.121705284760864</v>
      </c>
      <c r="AG27" s="135">
        <f t="shared" si="6"/>
        <v>23.175103070495013</v>
      </c>
      <c r="AH27" s="68">
        <f t="shared" si="6"/>
        <v>33.228500856229161</v>
      </c>
      <c r="AI27" s="69">
        <f t="shared" si="6"/>
        <v>43.281898641963309</v>
      </c>
    </row>
    <row r="28" spans="2:42" ht="15.75" thickBot="1" x14ac:dyDescent="0.3">
      <c r="B28" s="81">
        <f>+G3</f>
        <v>40</v>
      </c>
      <c r="C28" s="67">
        <f t="shared" si="0"/>
        <v>31.632125000000016</v>
      </c>
      <c r="D28" s="133">
        <f t="shared" si="0"/>
        <v>50.632125000000016</v>
      </c>
      <c r="E28" s="137">
        <f t="shared" si="0"/>
        <v>69.632125000000016</v>
      </c>
      <c r="F28" s="134">
        <f t="shared" si="0"/>
        <v>88.632125000000016</v>
      </c>
      <c r="G28" s="69">
        <f t="shared" si="0"/>
        <v>107.63212500000007</v>
      </c>
      <c r="I28" s="81">
        <f>+N3</f>
        <v>35</v>
      </c>
      <c r="J28" s="67">
        <f t="shared" si="1"/>
        <v>53.161905000000004</v>
      </c>
      <c r="K28" s="133">
        <f t="shared" si="1"/>
        <v>69.786905000000004</v>
      </c>
      <c r="L28" s="137">
        <f t="shared" si="1"/>
        <v>86.411905000000004</v>
      </c>
      <c r="M28" s="134">
        <f t="shared" si="1"/>
        <v>103.036905</v>
      </c>
      <c r="N28" s="69">
        <f t="shared" si="1"/>
        <v>119.66190500000006</v>
      </c>
      <c r="P28" s="81">
        <f>+U3</f>
        <v>35</v>
      </c>
      <c r="Q28" s="67">
        <f t="shared" si="2"/>
        <v>-40.060594999999992</v>
      </c>
      <c r="R28" s="133">
        <f t="shared" si="2"/>
        <v>-29.669969999999992</v>
      </c>
      <c r="S28" s="137">
        <f t="shared" si="2"/>
        <v>-19.279344999999992</v>
      </c>
      <c r="T28" s="134">
        <f t="shared" si="2"/>
        <v>-8.8887199999999922</v>
      </c>
      <c r="U28" s="69">
        <f t="shared" si="2"/>
        <v>1.5019050000000078</v>
      </c>
      <c r="W28" s="62">
        <f>+P28</f>
        <v>35</v>
      </c>
      <c r="X28" s="67">
        <f t="shared" si="5"/>
        <v>0.49020106040764233</v>
      </c>
      <c r="Y28" s="133">
        <f t="shared" si="5"/>
        <v>10.264239521946095</v>
      </c>
      <c r="Z28" s="137">
        <f t="shared" si="5"/>
        <v>20.038277983484548</v>
      </c>
      <c r="AA28" s="134">
        <f t="shared" si="5"/>
        <v>29.812316445023001</v>
      </c>
      <c r="AB28" s="69">
        <f t="shared" si="5"/>
        <v>39.58635490656151</v>
      </c>
      <c r="AD28" s="62">
        <f>+W28</f>
        <v>35</v>
      </c>
      <c r="AE28" s="67">
        <f>+(AE$25*$P28*$AI$7+$AI$9-$AI$14-$AI$18)</f>
        <v>23.175103070495013</v>
      </c>
      <c r="AF28" s="133">
        <f t="shared" si="6"/>
        <v>34.345545054644035</v>
      </c>
      <c r="AG28" s="137">
        <f t="shared" si="6"/>
        <v>45.515987038793114</v>
      </c>
      <c r="AH28" s="134">
        <f t="shared" si="6"/>
        <v>56.686429022942193</v>
      </c>
      <c r="AI28" s="69">
        <f t="shared" si="6"/>
        <v>67.856871007091272</v>
      </c>
    </row>
    <row r="29" spans="2:42" x14ac:dyDescent="0.25">
      <c r="B29" s="66">
        <f>+B28*1.1</f>
        <v>44</v>
      </c>
      <c r="C29" s="67">
        <f t="shared" si="0"/>
        <v>65.832125000000062</v>
      </c>
      <c r="D29" s="68">
        <f t="shared" si="0"/>
        <v>86.732125000000039</v>
      </c>
      <c r="E29" s="136">
        <f t="shared" si="0"/>
        <v>107.63212500000002</v>
      </c>
      <c r="F29" s="68">
        <f t="shared" si="0"/>
        <v>128.53212500000001</v>
      </c>
      <c r="G29" s="69">
        <f t="shared" si="0"/>
        <v>149.4321250000001</v>
      </c>
      <c r="I29" s="66">
        <f>+I28*1.1</f>
        <v>38.5</v>
      </c>
      <c r="J29" s="67">
        <f t="shared" si="1"/>
        <v>83.086905000000016</v>
      </c>
      <c r="K29" s="68">
        <f t="shared" si="1"/>
        <v>101.37440500000004</v>
      </c>
      <c r="L29" s="136">
        <f t="shared" si="1"/>
        <v>119.661905</v>
      </c>
      <c r="M29" s="68">
        <f t="shared" si="1"/>
        <v>137.94940499999996</v>
      </c>
      <c r="N29" s="69">
        <f t="shared" si="1"/>
        <v>156.23690500000004</v>
      </c>
      <c r="P29" s="66">
        <f>+P28*1.1</f>
        <v>38.5</v>
      </c>
      <c r="Q29" s="67">
        <f t="shared" si="2"/>
        <v>-21.357469999999992</v>
      </c>
      <c r="R29" s="68">
        <f t="shared" si="2"/>
        <v>-9.9277824999999922</v>
      </c>
      <c r="S29" s="136">
        <f t="shared" si="2"/>
        <v>1.5019050000000078</v>
      </c>
      <c r="T29" s="68">
        <f t="shared" si="2"/>
        <v>12.931592500000008</v>
      </c>
      <c r="U29" s="69">
        <f t="shared" si="2"/>
        <v>24.361280000000008</v>
      </c>
      <c r="W29" s="66">
        <f>+W28*1.1</f>
        <v>38.5</v>
      </c>
      <c r="X29" s="67">
        <f t="shared" si="5"/>
        <v>18.08347029117688</v>
      </c>
      <c r="Y29" s="68">
        <f t="shared" si="5"/>
        <v>28.834912598869167</v>
      </c>
      <c r="Z29" s="136">
        <f t="shared" si="5"/>
        <v>39.586354906561454</v>
      </c>
      <c r="AA29" s="68">
        <f t="shared" si="5"/>
        <v>50.33779721425374</v>
      </c>
      <c r="AB29" s="69">
        <f t="shared" si="5"/>
        <v>61.089239521946084</v>
      </c>
      <c r="AD29" s="62">
        <f>+W29</f>
        <v>38.5</v>
      </c>
      <c r="AE29" s="67">
        <f t="shared" si="6"/>
        <v>43.281898641963309</v>
      </c>
      <c r="AF29" s="68">
        <f t="shared" si="6"/>
        <v>55.569384824527262</v>
      </c>
      <c r="AG29" s="136">
        <f t="shared" si="6"/>
        <v>67.856871007091215</v>
      </c>
      <c r="AH29" s="68">
        <f t="shared" si="6"/>
        <v>80.144357189655167</v>
      </c>
      <c r="AI29" s="69">
        <f t="shared" si="6"/>
        <v>92.431843372219177</v>
      </c>
    </row>
    <row r="30" spans="2:42" ht="15.75" thickBot="1" x14ac:dyDescent="0.3">
      <c r="B30" s="70">
        <f>+B28*1.2</f>
        <v>48</v>
      </c>
      <c r="C30" s="71">
        <f t="shared" si="0"/>
        <v>100.03212500000005</v>
      </c>
      <c r="D30" s="72">
        <f t="shared" si="0"/>
        <v>122.83212500000006</v>
      </c>
      <c r="E30" s="72">
        <f t="shared" si="0"/>
        <v>145.63212500000003</v>
      </c>
      <c r="F30" s="72">
        <f t="shared" si="0"/>
        <v>168.43212499999998</v>
      </c>
      <c r="G30" s="73">
        <f t="shared" si="0"/>
        <v>191.23212500000005</v>
      </c>
      <c r="I30" s="70">
        <f>+I28*1.2</f>
        <v>42</v>
      </c>
      <c r="J30" s="71">
        <f t="shared" si="1"/>
        <v>113.01190500000003</v>
      </c>
      <c r="K30" s="72">
        <f t="shared" si="1"/>
        <v>132.961905</v>
      </c>
      <c r="L30" s="72">
        <f t="shared" si="1"/>
        <v>152.91190499999999</v>
      </c>
      <c r="M30" s="72">
        <f t="shared" si="1"/>
        <v>172.86190499999998</v>
      </c>
      <c r="N30" s="73">
        <f t="shared" si="1"/>
        <v>192.81190500000008</v>
      </c>
      <c r="P30" s="70">
        <f>+P28*1.2</f>
        <v>42</v>
      </c>
      <c r="Q30" s="71">
        <f t="shared" si="2"/>
        <v>-2.6543449999999922</v>
      </c>
      <c r="R30" s="72">
        <f t="shared" si="2"/>
        <v>9.8144050000000078</v>
      </c>
      <c r="S30" s="72">
        <f t="shared" si="2"/>
        <v>22.283155000000008</v>
      </c>
      <c r="T30" s="72">
        <f t="shared" si="2"/>
        <v>34.751905000000008</v>
      </c>
      <c r="U30" s="73">
        <f t="shared" si="2"/>
        <v>47.220655000000008</v>
      </c>
      <c r="W30" s="70">
        <f>+W28*1.2</f>
        <v>42</v>
      </c>
      <c r="X30" s="71">
        <f t="shared" si="5"/>
        <v>35.676739521946118</v>
      </c>
      <c r="Y30" s="72">
        <f t="shared" si="5"/>
        <v>47.405585675792238</v>
      </c>
      <c r="Z30" s="72">
        <f t="shared" si="5"/>
        <v>59.134431829638416</v>
      </c>
      <c r="AA30" s="72">
        <f t="shared" si="5"/>
        <v>70.863277983484537</v>
      </c>
      <c r="AB30" s="73">
        <f t="shared" si="5"/>
        <v>82.592124137330714</v>
      </c>
      <c r="AD30" s="70">
        <f>+AD28*1.2</f>
        <v>42</v>
      </c>
      <c r="AE30" s="71">
        <f t="shared" si="6"/>
        <v>63.388694213431606</v>
      </c>
      <c r="AF30" s="72">
        <f t="shared" si="6"/>
        <v>76.793224594410489</v>
      </c>
      <c r="AG30" s="72">
        <f t="shared" si="6"/>
        <v>90.197754975389316</v>
      </c>
      <c r="AH30" s="72">
        <f t="shared" si="6"/>
        <v>103.6022853563682</v>
      </c>
      <c r="AI30" s="73">
        <f t="shared" si="6"/>
        <v>117.00681573734708</v>
      </c>
    </row>
    <row r="31" spans="2:42" ht="16.5" thickTop="1" thickBot="1" x14ac:dyDescent="0.3">
      <c r="B31" s="92"/>
      <c r="C31" s="91"/>
      <c r="D31" s="91"/>
      <c r="E31" s="91"/>
      <c r="F31" s="91"/>
      <c r="G31" s="91"/>
      <c r="I31" s="92"/>
      <c r="J31" s="91"/>
      <c r="K31" s="91"/>
      <c r="L31" s="91"/>
      <c r="M31" s="91"/>
      <c r="N31" s="91"/>
      <c r="P31" s="92"/>
      <c r="Q31" s="91"/>
      <c r="R31" s="91"/>
      <c r="S31" s="91"/>
      <c r="T31" s="91"/>
      <c r="U31" s="91"/>
      <c r="W31" s="92"/>
      <c r="X31" s="91"/>
      <c r="Y31" s="91"/>
      <c r="Z31" s="91"/>
      <c r="AA31" s="91"/>
      <c r="AB31" s="91"/>
      <c r="AD31" s="92"/>
      <c r="AE31" s="91"/>
      <c r="AF31" s="91"/>
      <c r="AG31" s="91"/>
      <c r="AH31" s="91"/>
      <c r="AI31" s="91"/>
    </row>
    <row r="32" spans="2:42" ht="16.5" thickTop="1" thickBot="1" x14ac:dyDescent="0.3">
      <c r="B32" s="92"/>
      <c r="C32" s="91"/>
      <c r="D32" s="91"/>
      <c r="E32" s="91"/>
      <c r="F32" s="91"/>
      <c r="G32" s="91"/>
      <c r="I32" s="352" t="s">
        <v>117</v>
      </c>
      <c r="J32" s="353"/>
      <c r="K32" s="353"/>
      <c r="L32" s="353"/>
      <c r="M32" s="353"/>
      <c r="N32" s="354"/>
      <c r="P32" s="352" t="s">
        <v>117</v>
      </c>
      <c r="Q32" s="353"/>
      <c r="R32" s="353"/>
      <c r="S32" s="353"/>
      <c r="T32" s="353"/>
      <c r="U32" s="354"/>
      <c r="W32" s="352" t="s">
        <v>117</v>
      </c>
      <c r="X32" s="353"/>
      <c r="Y32" s="353"/>
      <c r="Z32" s="353"/>
      <c r="AA32" s="353"/>
      <c r="AB32" s="354"/>
      <c r="AD32" s="352" t="s">
        <v>117</v>
      </c>
      <c r="AE32" s="353"/>
      <c r="AF32" s="353"/>
      <c r="AG32" s="353"/>
      <c r="AH32" s="353"/>
      <c r="AI32" s="354"/>
      <c r="AK32" s="352" t="s">
        <v>117</v>
      </c>
      <c r="AL32" s="353"/>
      <c r="AM32" s="353"/>
      <c r="AN32" s="353"/>
      <c r="AO32" s="353"/>
      <c r="AP32" s="354"/>
    </row>
    <row r="33" spans="2:42" ht="15.75" thickTop="1" x14ac:dyDescent="0.25">
      <c r="B33" s="92"/>
      <c r="C33" s="91"/>
      <c r="D33" s="91"/>
      <c r="E33" s="91"/>
      <c r="F33" s="91"/>
      <c r="G33" s="91"/>
      <c r="I33" s="60" t="s">
        <v>58</v>
      </c>
      <c r="J33" s="361" t="s">
        <v>153</v>
      </c>
      <c r="K33" s="362"/>
      <c r="L33" s="362" t="s">
        <v>60</v>
      </c>
      <c r="M33" s="362"/>
      <c r="N33" s="363"/>
      <c r="O33" s="7"/>
      <c r="P33" s="60" t="s">
        <v>58</v>
      </c>
      <c r="Q33" s="361" t="s">
        <v>153</v>
      </c>
      <c r="R33" s="362"/>
      <c r="S33" s="362" t="s">
        <v>60</v>
      </c>
      <c r="T33" s="362"/>
      <c r="U33" s="363"/>
      <c r="W33" s="60" t="s">
        <v>58</v>
      </c>
      <c r="X33" s="361" t="s">
        <v>153</v>
      </c>
      <c r="Y33" s="362"/>
      <c r="Z33" s="362" t="s">
        <v>60</v>
      </c>
      <c r="AA33" s="362"/>
      <c r="AB33" s="363"/>
      <c r="AD33" s="60" t="s">
        <v>58</v>
      </c>
      <c r="AE33" s="361" t="s">
        <v>153</v>
      </c>
      <c r="AF33" s="362"/>
      <c r="AG33" s="362" t="s">
        <v>60</v>
      </c>
      <c r="AH33" s="362"/>
      <c r="AI33" s="363"/>
      <c r="AK33" s="60" t="s">
        <v>109</v>
      </c>
      <c r="AL33" s="361" t="s">
        <v>107</v>
      </c>
      <c r="AM33" s="362"/>
      <c r="AN33" s="362"/>
      <c r="AO33" s="362"/>
      <c r="AP33" s="363"/>
    </row>
    <row r="34" spans="2:42" ht="15.75" thickBot="1" x14ac:dyDescent="0.3">
      <c r="B34" s="92"/>
      <c r="C34" s="91"/>
      <c r="D34" s="91"/>
      <c r="E34" s="91"/>
      <c r="F34" s="91"/>
      <c r="G34" s="91"/>
      <c r="I34" s="61"/>
      <c r="J34" s="169">
        <v>0.4</v>
      </c>
      <c r="K34" s="170">
        <v>0.5</v>
      </c>
      <c r="L34" s="171">
        <v>0.55000000000000004</v>
      </c>
      <c r="M34" s="170">
        <v>0.65</v>
      </c>
      <c r="N34" s="172">
        <v>0.75</v>
      </c>
      <c r="O34" s="9"/>
      <c r="P34" s="61"/>
      <c r="Q34" s="74">
        <f>+J34</f>
        <v>0.4</v>
      </c>
      <c r="R34" s="75">
        <f>+K34</f>
        <v>0.5</v>
      </c>
      <c r="S34" s="75">
        <f t="shared" ref="S34:U34" si="7">+L34</f>
        <v>0.55000000000000004</v>
      </c>
      <c r="T34" s="75">
        <f t="shared" si="7"/>
        <v>0.65</v>
      </c>
      <c r="U34" s="75">
        <f t="shared" si="7"/>
        <v>0.75</v>
      </c>
      <c r="W34" s="61"/>
      <c r="X34" s="74">
        <f>+Q34</f>
        <v>0.4</v>
      </c>
      <c r="Y34" s="75">
        <f>+R34</f>
        <v>0.5</v>
      </c>
      <c r="Z34" s="75">
        <f t="shared" ref="Z34:AB34" si="8">+S34</f>
        <v>0.55000000000000004</v>
      </c>
      <c r="AA34" s="75">
        <f t="shared" si="8"/>
        <v>0.65</v>
      </c>
      <c r="AB34" s="75">
        <f t="shared" si="8"/>
        <v>0.75</v>
      </c>
      <c r="AD34" s="61"/>
      <c r="AE34" s="74">
        <f>+X34</f>
        <v>0.4</v>
      </c>
      <c r="AF34" s="75">
        <f>+Y34</f>
        <v>0.5</v>
      </c>
      <c r="AG34" s="75">
        <f t="shared" ref="AG34:AI34" si="9">+Z34</f>
        <v>0.55000000000000004</v>
      </c>
      <c r="AH34" s="75">
        <f t="shared" si="9"/>
        <v>0.65</v>
      </c>
      <c r="AI34" s="75">
        <f t="shared" si="9"/>
        <v>0.75</v>
      </c>
      <c r="AK34" s="61" t="s">
        <v>8</v>
      </c>
      <c r="AL34" s="74">
        <v>0.44</v>
      </c>
      <c r="AM34" s="75">
        <v>0.5</v>
      </c>
      <c r="AN34" s="90">
        <f>+Sheet9!Z26</f>
        <v>0.65</v>
      </c>
      <c r="AO34" s="75">
        <v>0.7</v>
      </c>
      <c r="AP34" s="76">
        <v>0.8</v>
      </c>
    </row>
    <row r="35" spans="2:42" ht="15.75" thickTop="1" x14ac:dyDescent="0.25">
      <c r="B35" s="92"/>
      <c r="C35" s="91"/>
      <c r="D35" s="91"/>
      <c r="E35" s="91"/>
      <c r="F35" s="91"/>
      <c r="G35" s="91"/>
      <c r="I35" s="62">
        <f>+I37*0.8</f>
        <v>66</v>
      </c>
      <c r="J35" s="63">
        <f>+(J$34*$I35+$N$8-$N$14-$N$18)</f>
        <v>23.686904999999982</v>
      </c>
      <c r="K35" s="64">
        <f t="shared" ref="K35:N35" si="10">+(K$34*$I35+$N$8-$N$14-$N$18)</f>
        <v>30.286905000000004</v>
      </c>
      <c r="L35" s="64">
        <f t="shared" si="10"/>
        <v>33.586905000000016</v>
      </c>
      <c r="M35" s="64">
        <f t="shared" si="10"/>
        <v>40.186904999999982</v>
      </c>
      <c r="N35" s="65">
        <f t="shared" si="10"/>
        <v>46.786905000000004</v>
      </c>
      <c r="P35" s="62">
        <f>+P37*0.8</f>
        <v>110.18000000000002</v>
      </c>
      <c r="Q35" s="63">
        <f>+(Q$34*$P35+$U$8-$U$14-$U$18)</f>
        <v>-64.728594999999999</v>
      </c>
      <c r="R35" s="64">
        <f t="shared" ref="R35:U35" si="11">+(R$34*$P35+$U$8-$U$14-$U$18)</f>
        <v>-53.710594999999969</v>
      </c>
      <c r="S35" s="64">
        <f t="shared" si="11"/>
        <v>-48.201594999999955</v>
      </c>
      <c r="T35" s="64">
        <f t="shared" si="11"/>
        <v>-37.183594999999983</v>
      </c>
      <c r="U35" s="65">
        <f t="shared" si="11"/>
        <v>-26.16559500000001</v>
      </c>
      <c r="W35" s="62">
        <f>+P35</f>
        <v>110.18000000000002</v>
      </c>
      <c r="X35" s="63">
        <f>+(X$34*$W35+$AB$8-$AB$14-$AB$18)</f>
        <v>-11.638472016515479</v>
      </c>
      <c r="Y35" s="64">
        <f t="shared" ref="Y35:AB35" si="12">+(Y$34*$W35+$AB$8-$AB$14-$AB$18)</f>
        <v>-0.62047201651547823</v>
      </c>
      <c r="Z35" s="64">
        <f t="shared" si="12"/>
        <v>4.8885279834845079</v>
      </c>
      <c r="AA35" s="64">
        <f t="shared" si="12"/>
        <v>15.906527983484537</v>
      </c>
      <c r="AB35" s="65">
        <f t="shared" si="12"/>
        <v>26.924527983484566</v>
      </c>
      <c r="AD35" s="62">
        <f>+W35</f>
        <v>110.18000000000002</v>
      </c>
      <c r="AE35" s="63">
        <f>+(AE$34*$AD35+$AI$8-$AI$14-$AI$18)</f>
        <v>13.839237038793087</v>
      </c>
      <c r="AF35" s="64">
        <f t="shared" ref="AF35:AI35" si="13">+(AF$34*$AD35+$AI$8-$AI$14-$AI$18)</f>
        <v>24.857237038793116</v>
      </c>
      <c r="AG35" s="64">
        <f t="shared" si="13"/>
        <v>30.366237038793074</v>
      </c>
      <c r="AH35" s="64">
        <f t="shared" si="13"/>
        <v>41.384237038793103</v>
      </c>
      <c r="AI35" s="65">
        <f t="shared" si="13"/>
        <v>52.402237038793132</v>
      </c>
      <c r="AK35" s="62">
        <f>+AK37*0.9</f>
        <v>189.94474719101123</v>
      </c>
      <c r="AL35" s="63">
        <f t="shared" ref="AL35:AP39" si="14">+(AL$34*$AK35)-$AP$14-$AP$18</f>
        <v>-47.744374462699248</v>
      </c>
      <c r="AM35" s="64">
        <f t="shared" si="14"/>
        <v>-36.347689631238573</v>
      </c>
      <c r="AN35" s="64">
        <f t="shared" si="14"/>
        <v>-7.8559775525868787</v>
      </c>
      <c r="AO35" s="64">
        <f t="shared" si="14"/>
        <v>1.6412598069636744</v>
      </c>
      <c r="AP35" s="65">
        <f t="shared" si="14"/>
        <v>20.635734526064809</v>
      </c>
    </row>
    <row r="36" spans="2:42" ht="15.75" thickBot="1" x14ac:dyDescent="0.3">
      <c r="B36" s="92"/>
      <c r="C36" s="91"/>
      <c r="D36" s="91"/>
      <c r="E36" s="91"/>
      <c r="F36" s="91"/>
      <c r="G36" s="91"/>
      <c r="I36" s="66">
        <f>+I37*0.9</f>
        <v>74.25</v>
      </c>
      <c r="J36" s="67">
        <f t="shared" ref="J36:N39" si="15">+(J$34*$I36+$N$8-$N$14-$N$18)</f>
        <v>26.986904999999993</v>
      </c>
      <c r="K36" s="68">
        <f t="shared" si="15"/>
        <v>34.411905000000004</v>
      </c>
      <c r="L36" s="135">
        <f t="shared" si="15"/>
        <v>38.124404999999982</v>
      </c>
      <c r="M36" s="68">
        <f t="shared" si="15"/>
        <v>45.549404999999993</v>
      </c>
      <c r="N36" s="69">
        <f t="shared" si="15"/>
        <v>52.974405000000004</v>
      </c>
      <c r="P36" s="66">
        <f>+P37*0.9</f>
        <v>123.95250000000003</v>
      </c>
      <c r="Q36" s="67">
        <f t="shared" ref="Q36:U39" si="16">+(Q$34*$P36+$U$8-$U$14-$U$18)</f>
        <v>-59.219594999999984</v>
      </c>
      <c r="R36" s="68">
        <f t="shared" si="16"/>
        <v>-46.824345000000008</v>
      </c>
      <c r="S36" s="135">
        <f t="shared" si="16"/>
        <v>-40.626719999999992</v>
      </c>
      <c r="T36" s="68">
        <f t="shared" si="16"/>
        <v>-28.231469999999959</v>
      </c>
      <c r="U36" s="69">
        <f t="shared" si="16"/>
        <v>-15.836219999999983</v>
      </c>
      <c r="W36" s="62">
        <f>+P36</f>
        <v>123.95250000000003</v>
      </c>
      <c r="X36" s="67">
        <f t="shared" ref="X36:AB39" si="17">+(X$34*$W36+$AB$8-$AB$14-$AB$18)</f>
        <v>-6.1294720165154644</v>
      </c>
      <c r="Y36" s="68">
        <f t="shared" si="17"/>
        <v>6.2657779834845115</v>
      </c>
      <c r="Z36" s="135">
        <f t="shared" si="17"/>
        <v>12.463402983484528</v>
      </c>
      <c r="AA36" s="68">
        <f t="shared" si="17"/>
        <v>24.858652983484561</v>
      </c>
      <c r="AB36" s="69">
        <f t="shared" si="17"/>
        <v>37.253902983484537</v>
      </c>
      <c r="AD36" s="62">
        <f>+W36</f>
        <v>123.95250000000003</v>
      </c>
      <c r="AE36" s="67">
        <f t="shared" ref="AE36:AI39" si="18">+(AE$34*$AD36+$AI$8-$AI$14-$AI$18)</f>
        <v>19.348237038793101</v>
      </c>
      <c r="AF36" s="68">
        <f t="shared" si="18"/>
        <v>31.743487038793077</v>
      </c>
      <c r="AG36" s="135">
        <f t="shared" si="18"/>
        <v>37.941112038793094</v>
      </c>
      <c r="AH36" s="68">
        <f t="shared" si="18"/>
        <v>50.336362038793126</v>
      </c>
      <c r="AI36" s="69">
        <f t="shared" si="18"/>
        <v>62.731612038793102</v>
      </c>
      <c r="AK36" s="66">
        <f>+AK37*0.95</f>
        <v>200.4972331460674</v>
      </c>
      <c r="AL36" s="67">
        <f t="shared" si="14"/>
        <v>-43.101280642474528</v>
      </c>
      <c r="AM36" s="68">
        <f t="shared" si="14"/>
        <v>-31.071446653710488</v>
      </c>
      <c r="AN36" s="135">
        <f t="shared" si="14"/>
        <v>-0.99686168180035395</v>
      </c>
      <c r="AO36" s="68">
        <f t="shared" si="14"/>
        <v>9.0279999755029934</v>
      </c>
      <c r="AP36" s="69">
        <f t="shared" si="14"/>
        <v>29.077723290109745</v>
      </c>
    </row>
    <row r="37" spans="2:42" ht="15.75" thickBot="1" x14ac:dyDescent="0.3">
      <c r="B37" s="92"/>
      <c r="C37" s="91"/>
      <c r="D37" s="91"/>
      <c r="E37" s="91"/>
      <c r="F37" s="91"/>
      <c r="G37" s="91"/>
      <c r="I37" s="81">
        <f>+'Wheat Dual  ~700Lb'!D4</f>
        <v>82.5</v>
      </c>
      <c r="J37" s="67">
        <f t="shared" si="15"/>
        <v>30.286905000000004</v>
      </c>
      <c r="K37" s="133">
        <f t="shared" si="15"/>
        <v>38.536905000000004</v>
      </c>
      <c r="L37" s="137">
        <f t="shared" si="15"/>
        <v>42.661905000000004</v>
      </c>
      <c r="M37" s="134">
        <f t="shared" si="15"/>
        <v>50.911905000000004</v>
      </c>
      <c r="N37" s="69">
        <f t="shared" si="15"/>
        <v>59.161905000000004</v>
      </c>
      <c r="P37" s="81">
        <f>+'Wheat Dual ~800Lb'!D4+'Wheat Dual ~800Lb'!D5</f>
        <v>137.72500000000002</v>
      </c>
      <c r="Q37" s="67">
        <f t="shared" si="16"/>
        <v>-53.710594999999969</v>
      </c>
      <c r="R37" s="133">
        <f t="shared" si="16"/>
        <v>-39.93809499999999</v>
      </c>
      <c r="S37" s="137">
        <f t="shared" si="16"/>
        <v>-33.051844999999972</v>
      </c>
      <c r="T37" s="134">
        <f t="shared" si="16"/>
        <v>-19.279344999999992</v>
      </c>
      <c r="U37" s="69">
        <f t="shared" si="16"/>
        <v>-5.5068449999999558</v>
      </c>
      <c r="W37" s="62">
        <f>+P37</f>
        <v>137.72500000000002</v>
      </c>
      <c r="X37" s="67">
        <f t="shared" si="17"/>
        <v>-0.62047201651547823</v>
      </c>
      <c r="Y37" s="133">
        <f t="shared" si="17"/>
        <v>13.15202798348453</v>
      </c>
      <c r="Z37" s="137">
        <f t="shared" si="17"/>
        <v>20.038277983484548</v>
      </c>
      <c r="AA37" s="134">
        <f t="shared" si="17"/>
        <v>33.810777983484527</v>
      </c>
      <c r="AB37" s="69">
        <f t="shared" si="17"/>
        <v>47.583277983484507</v>
      </c>
      <c r="AD37" s="62">
        <f>+W37</f>
        <v>137.72500000000002</v>
      </c>
      <c r="AE37" s="67">
        <f t="shared" si="18"/>
        <v>24.857237038793116</v>
      </c>
      <c r="AF37" s="133">
        <f t="shared" si="18"/>
        <v>38.629737038793095</v>
      </c>
      <c r="AG37" s="137">
        <f t="shared" si="18"/>
        <v>45.515987038793114</v>
      </c>
      <c r="AH37" s="134">
        <f t="shared" si="18"/>
        <v>59.288487038793093</v>
      </c>
      <c r="AI37" s="69">
        <f t="shared" si="18"/>
        <v>73.060987038793073</v>
      </c>
      <c r="AK37" s="81">
        <f>+AP4</f>
        <v>211.0497191011236</v>
      </c>
      <c r="AL37" s="67">
        <f t="shared" si="14"/>
        <v>-38.458186822249807</v>
      </c>
      <c r="AM37" s="133">
        <f t="shared" si="14"/>
        <v>-25.795203676182389</v>
      </c>
      <c r="AN37" s="137">
        <f t="shared" si="14"/>
        <v>5.8622541889861708</v>
      </c>
      <c r="AO37" s="134">
        <f t="shared" si="14"/>
        <v>16.414740144042341</v>
      </c>
      <c r="AP37" s="69">
        <f t="shared" si="14"/>
        <v>37.519712054154709</v>
      </c>
    </row>
    <row r="38" spans="2:42" x14ac:dyDescent="0.25">
      <c r="B38" s="92"/>
      <c r="C38" s="91"/>
      <c r="D38" s="91"/>
      <c r="E38" s="91"/>
      <c r="F38" s="91"/>
      <c r="G38" s="91"/>
      <c r="I38" s="66">
        <f>+I37*1.1</f>
        <v>90.750000000000014</v>
      </c>
      <c r="J38" s="67">
        <f t="shared" si="15"/>
        <v>33.586905000000016</v>
      </c>
      <c r="K38" s="68">
        <f t="shared" si="15"/>
        <v>42.661905000000004</v>
      </c>
      <c r="L38" s="136">
        <f t="shared" si="15"/>
        <v>47.199405000000027</v>
      </c>
      <c r="M38" s="68">
        <f t="shared" si="15"/>
        <v>56.274405000000016</v>
      </c>
      <c r="N38" s="69">
        <f t="shared" si="15"/>
        <v>65.349405000000004</v>
      </c>
      <c r="P38" s="66">
        <f>+P37*1.1</f>
        <v>151.49750000000003</v>
      </c>
      <c r="Q38" s="67">
        <f t="shared" si="16"/>
        <v>-48.201594999999955</v>
      </c>
      <c r="R38" s="68">
        <f t="shared" si="16"/>
        <v>-33.051844999999972</v>
      </c>
      <c r="S38" s="136">
        <f t="shared" si="16"/>
        <v>-25.476970000000009</v>
      </c>
      <c r="T38" s="68">
        <f t="shared" si="16"/>
        <v>-10.327219999999969</v>
      </c>
      <c r="U38" s="69">
        <f t="shared" si="16"/>
        <v>4.8225300000000146</v>
      </c>
      <c r="W38" s="66">
        <f>+W37*1.1</f>
        <v>151.49750000000003</v>
      </c>
      <c r="X38" s="67">
        <f t="shared" si="17"/>
        <v>4.8885279834845079</v>
      </c>
      <c r="Y38" s="68">
        <f t="shared" si="17"/>
        <v>20.038277983484548</v>
      </c>
      <c r="Z38" s="136">
        <f t="shared" si="17"/>
        <v>27.613152983484568</v>
      </c>
      <c r="AA38" s="68">
        <f t="shared" si="17"/>
        <v>42.762902983484551</v>
      </c>
      <c r="AB38" s="69">
        <f t="shared" si="17"/>
        <v>57.912652983484534</v>
      </c>
      <c r="AD38" s="62">
        <f>+W38</f>
        <v>151.49750000000003</v>
      </c>
      <c r="AE38" s="67">
        <f t="shared" si="18"/>
        <v>30.366237038793074</v>
      </c>
      <c r="AF38" s="68">
        <f t="shared" si="18"/>
        <v>45.515987038793114</v>
      </c>
      <c r="AG38" s="136">
        <f t="shared" si="18"/>
        <v>53.090862038793134</v>
      </c>
      <c r="AH38" s="68">
        <f t="shared" si="18"/>
        <v>68.240612038793117</v>
      </c>
      <c r="AI38" s="69">
        <f t="shared" si="18"/>
        <v>83.3903620387931</v>
      </c>
      <c r="AK38" s="66">
        <f>+AK37*1.05</f>
        <v>221.6022050561798</v>
      </c>
      <c r="AL38" s="67">
        <f t="shared" si="14"/>
        <v>-33.815093002025073</v>
      </c>
      <c r="AM38" s="68">
        <f t="shared" si="14"/>
        <v>-20.51896069865429</v>
      </c>
      <c r="AN38" s="136">
        <f t="shared" si="14"/>
        <v>12.721370059772696</v>
      </c>
      <c r="AO38" s="68">
        <f t="shared" si="14"/>
        <v>23.80148031258166</v>
      </c>
      <c r="AP38" s="69">
        <f t="shared" si="14"/>
        <v>45.961700818199674</v>
      </c>
    </row>
    <row r="39" spans="2:42" ht="15.75" thickBot="1" x14ac:dyDescent="0.3">
      <c r="B39" s="92"/>
      <c r="C39" s="91"/>
      <c r="D39" s="91"/>
      <c r="E39" s="91"/>
      <c r="F39" s="91"/>
      <c r="G39" s="91"/>
      <c r="I39" s="70">
        <f>+I37*1.2</f>
        <v>99</v>
      </c>
      <c r="J39" s="71">
        <f t="shared" si="15"/>
        <v>36.886905000000027</v>
      </c>
      <c r="K39" s="72">
        <f t="shared" si="15"/>
        <v>46.786905000000004</v>
      </c>
      <c r="L39" s="72">
        <f t="shared" si="15"/>
        <v>51.736904999999993</v>
      </c>
      <c r="M39" s="72">
        <f t="shared" si="15"/>
        <v>61.636905000000027</v>
      </c>
      <c r="N39" s="73">
        <f t="shared" si="15"/>
        <v>71.536905000000004</v>
      </c>
      <c r="P39" s="70">
        <f>+P37*1.2</f>
        <v>165.27</v>
      </c>
      <c r="Q39" s="71">
        <f t="shared" si="16"/>
        <v>-42.692594999999997</v>
      </c>
      <c r="R39" s="72">
        <f t="shared" si="16"/>
        <v>-26.16559500000001</v>
      </c>
      <c r="S39" s="72">
        <f t="shared" si="16"/>
        <v>-17.902094999999989</v>
      </c>
      <c r="T39" s="72">
        <f t="shared" si="16"/>
        <v>-1.3750950000000017</v>
      </c>
      <c r="U39" s="73">
        <f t="shared" si="16"/>
        <v>15.151904999999985</v>
      </c>
      <c r="W39" s="70">
        <f>+W37*1.2</f>
        <v>165.27</v>
      </c>
      <c r="X39" s="71">
        <f t="shared" si="17"/>
        <v>10.397527983484522</v>
      </c>
      <c r="Y39" s="72">
        <f t="shared" si="17"/>
        <v>26.924527983484509</v>
      </c>
      <c r="Z39" s="72">
        <f t="shared" si="17"/>
        <v>35.188027983484531</v>
      </c>
      <c r="AA39" s="72">
        <f t="shared" si="17"/>
        <v>51.715027983484518</v>
      </c>
      <c r="AB39" s="73">
        <f t="shared" si="17"/>
        <v>68.242027983484562</v>
      </c>
      <c r="AD39" s="70">
        <f>+AD37*1.2</f>
        <v>165.27</v>
      </c>
      <c r="AE39" s="71">
        <f t="shared" si="18"/>
        <v>35.875237038793088</v>
      </c>
      <c r="AF39" s="72">
        <f t="shared" si="18"/>
        <v>52.402237038793075</v>
      </c>
      <c r="AG39" s="72">
        <f t="shared" si="18"/>
        <v>60.665737038793097</v>
      </c>
      <c r="AH39" s="72">
        <f t="shared" si="18"/>
        <v>77.192737038793084</v>
      </c>
      <c r="AI39" s="73">
        <f t="shared" si="18"/>
        <v>93.719737038793127</v>
      </c>
      <c r="AK39" s="70">
        <f>+AK38*1.1</f>
        <v>243.76242556179778</v>
      </c>
      <c r="AL39" s="71">
        <f t="shared" si="14"/>
        <v>-24.064595979553168</v>
      </c>
      <c r="AM39" s="72">
        <f t="shared" si="14"/>
        <v>-9.43885044584529</v>
      </c>
      <c r="AN39" s="72">
        <f t="shared" si="14"/>
        <v>27.12551338842438</v>
      </c>
      <c r="AO39" s="72">
        <f t="shared" si="14"/>
        <v>39.313634666514261</v>
      </c>
      <c r="AP39" s="73">
        <f t="shared" si="14"/>
        <v>63.689877222694051</v>
      </c>
    </row>
    <row r="40" spans="2:42" ht="15.75" thickTop="1" x14ac:dyDescent="0.25">
      <c r="B40" s="92"/>
      <c r="C40" s="91"/>
      <c r="D40" s="91"/>
      <c r="E40" s="91"/>
      <c r="F40" s="91"/>
      <c r="G40" s="91"/>
      <c r="I40" s="92"/>
      <c r="J40" s="91"/>
      <c r="K40" s="91"/>
      <c r="L40" s="91"/>
      <c r="M40" s="91"/>
      <c r="N40" s="91"/>
      <c r="P40" s="92"/>
      <c r="Q40" s="91"/>
      <c r="R40" s="91"/>
      <c r="S40" s="91"/>
      <c r="T40" s="91"/>
      <c r="U40" s="91"/>
      <c r="W40" s="92"/>
      <c r="X40" s="91"/>
      <c r="Y40" s="91"/>
      <c r="Z40" s="91"/>
      <c r="AA40" s="91"/>
      <c r="AB40" s="91"/>
      <c r="AD40" s="92"/>
      <c r="AE40" s="91"/>
      <c r="AF40" s="91"/>
      <c r="AG40" s="91"/>
      <c r="AH40" s="91"/>
      <c r="AI40" s="91"/>
    </row>
    <row r="41" spans="2:42" x14ac:dyDescent="0.25">
      <c r="B41" s="92"/>
      <c r="C41" s="91"/>
      <c r="D41" s="91"/>
      <c r="E41" s="91"/>
      <c r="F41" s="91"/>
      <c r="G41" s="91"/>
      <c r="I41" s="92"/>
      <c r="J41" s="91"/>
      <c r="K41" s="91"/>
      <c r="L41" s="91"/>
      <c r="M41" s="91"/>
      <c r="N41" s="91"/>
      <c r="P41" s="92"/>
      <c r="Q41" s="91"/>
      <c r="R41" s="91"/>
      <c r="S41" s="91"/>
      <c r="T41" s="91"/>
      <c r="U41" s="91"/>
      <c r="W41" s="92"/>
      <c r="X41" s="91"/>
      <c r="Y41" s="91"/>
      <c r="Z41" s="91"/>
      <c r="AA41" s="91"/>
      <c r="AB41" s="91"/>
      <c r="AD41" s="92"/>
      <c r="AE41" s="91"/>
      <c r="AF41" s="91"/>
      <c r="AG41" s="91"/>
      <c r="AH41" s="91"/>
      <c r="AI41" s="91"/>
    </row>
    <row r="42" spans="2:42" x14ac:dyDescent="0.25">
      <c r="B42" s="92"/>
      <c r="C42" s="91"/>
      <c r="D42" s="91"/>
      <c r="E42" s="91"/>
      <c r="F42" s="91"/>
      <c r="G42" s="91"/>
      <c r="I42" s="92"/>
      <c r="J42" s="91"/>
      <c r="K42" s="91"/>
      <c r="L42" s="91"/>
      <c r="M42" s="91"/>
      <c r="N42" s="91"/>
      <c r="P42" s="92"/>
      <c r="Q42" s="91"/>
      <c r="R42" s="91"/>
      <c r="S42" s="91"/>
      <c r="T42" s="91"/>
      <c r="U42" s="91"/>
      <c r="W42" s="92"/>
      <c r="X42" s="91"/>
      <c r="Y42" s="91"/>
      <c r="Z42" s="91"/>
      <c r="AA42" s="91"/>
      <c r="AB42" s="91"/>
      <c r="AD42" s="92"/>
      <c r="AE42" s="91"/>
      <c r="AF42" s="91"/>
      <c r="AG42" s="91"/>
      <c r="AH42" s="91"/>
      <c r="AI42" s="91"/>
    </row>
    <row r="43" spans="2:42" x14ac:dyDescent="0.25">
      <c r="B43" s="92"/>
      <c r="C43" s="91"/>
      <c r="D43" s="91"/>
      <c r="E43" s="91"/>
      <c r="F43" s="91"/>
      <c r="G43" s="91"/>
      <c r="I43" s="92"/>
      <c r="J43" s="91"/>
      <c r="K43" s="91"/>
      <c r="L43" s="91"/>
      <c r="M43" s="91"/>
      <c r="N43" s="91"/>
      <c r="P43" s="92"/>
      <c r="Q43" s="91"/>
      <c r="R43" s="91"/>
      <c r="S43" s="91"/>
      <c r="T43" s="91"/>
      <c r="U43" s="91"/>
      <c r="W43" s="92"/>
      <c r="X43" s="91"/>
      <c r="Y43" s="91"/>
      <c r="Z43" s="91"/>
      <c r="AA43" s="91"/>
      <c r="AB43" s="91"/>
      <c r="AD43" s="92"/>
      <c r="AE43" s="91"/>
      <c r="AF43" s="91"/>
      <c r="AG43" s="91"/>
      <c r="AH43" s="91"/>
      <c r="AI43" s="91"/>
    </row>
    <row r="44" spans="2:42" x14ac:dyDescent="0.25">
      <c r="B44" s="168"/>
      <c r="C44" s="91"/>
      <c r="D44" s="91"/>
      <c r="E44" s="91"/>
      <c r="F44" s="91"/>
      <c r="G44" s="91"/>
      <c r="I44" s="168"/>
      <c r="J44" s="91"/>
      <c r="K44" s="91"/>
      <c r="L44" s="91"/>
      <c r="M44" s="91"/>
      <c r="N44" s="91"/>
      <c r="P44" s="168"/>
      <c r="Q44" s="91"/>
      <c r="R44" s="91"/>
      <c r="S44" s="91"/>
      <c r="T44" s="91"/>
      <c r="U44" s="91"/>
      <c r="W44" s="168"/>
      <c r="X44" s="91"/>
      <c r="Y44" s="91"/>
      <c r="Z44" s="91"/>
      <c r="AA44" s="91"/>
      <c r="AB44" s="91"/>
      <c r="AD44" s="168"/>
      <c r="AE44" s="91"/>
      <c r="AF44" s="91"/>
      <c r="AG44" s="91"/>
      <c r="AH44" s="91"/>
      <c r="AI44" s="91"/>
    </row>
    <row r="45" spans="2:42" x14ac:dyDescent="0.25">
      <c r="B45" s="168"/>
      <c r="C45" s="91"/>
      <c r="D45" s="91"/>
      <c r="E45" s="91"/>
      <c r="F45" s="91"/>
      <c r="G45" s="91"/>
      <c r="I45" s="168"/>
      <c r="J45" s="91"/>
      <c r="K45" s="91"/>
      <c r="L45" s="91"/>
      <c r="M45" s="91"/>
      <c r="N45" s="91"/>
      <c r="P45" s="168"/>
      <c r="Q45" s="91"/>
      <c r="R45" s="91"/>
      <c r="S45" s="91"/>
      <c r="T45" s="91"/>
      <c r="U45" s="91"/>
      <c r="W45" s="168"/>
      <c r="X45" s="91"/>
      <c r="Y45" s="91"/>
      <c r="Z45" s="91"/>
      <c r="AA45" s="91"/>
      <c r="AB45" s="91"/>
      <c r="AD45" s="168"/>
      <c r="AE45" s="91"/>
      <c r="AF45" s="91"/>
      <c r="AG45" s="91"/>
      <c r="AH45" s="91"/>
      <c r="AI45" s="91"/>
    </row>
    <row r="46" spans="2:42" ht="15.75" thickBot="1" x14ac:dyDescent="0.3"/>
    <row r="47" spans="2:42" ht="16.5" thickTop="1" thickBot="1" x14ac:dyDescent="0.3">
      <c r="B47" s="352" t="s">
        <v>113</v>
      </c>
      <c r="C47" s="353"/>
      <c r="D47" s="353"/>
      <c r="E47" s="353"/>
      <c r="F47" s="353"/>
      <c r="G47" s="354"/>
      <c r="I47" s="352" t="s">
        <v>113</v>
      </c>
      <c r="J47" s="353"/>
      <c r="K47" s="353"/>
      <c r="L47" s="353"/>
      <c r="M47" s="353"/>
      <c r="N47" s="354"/>
      <c r="P47" s="352" t="s">
        <v>113</v>
      </c>
      <c r="Q47" s="353"/>
      <c r="R47" s="353"/>
      <c r="S47" s="353"/>
      <c r="T47" s="353"/>
      <c r="U47" s="354"/>
      <c r="W47" s="352" t="s">
        <v>113</v>
      </c>
      <c r="X47" s="353"/>
      <c r="Y47" s="353"/>
      <c r="Z47" s="353"/>
      <c r="AA47" s="353"/>
      <c r="AB47" s="354"/>
      <c r="AD47" s="352" t="s">
        <v>113</v>
      </c>
      <c r="AE47" s="353"/>
      <c r="AF47" s="353"/>
      <c r="AG47" s="353"/>
      <c r="AH47" s="353"/>
      <c r="AI47" s="354"/>
      <c r="AK47" s="352" t="s">
        <v>113</v>
      </c>
      <c r="AL47" s="353"/>
      <c r="AM47" s="353"/>
      <c r="AN47" s="353"/>
      <c r="AO47" s="353"/>
      <c r="AP47" s="354"/>
    </row>
    <row r="48" spans="2:42" ht="15.75" thickTop="1" x14ac:dyDescent="0.25">
      <c r="B48" s="60" t="s">
        <v>58</v>
      </c>
      <c r="C48" s="361" t="s">
        <v>114</v>
      </c>
      <c r="D48" s="362"/>
      <c r="E48" s="362" t="s">
        <v>60</v>
      </c>
      <c r="F48" s="362"/>
      <c r="G48" s="363"/>
      <c r="I48" s="60" t="s">
        <v>58</v>
      </c>
      <c r="J48" s="361" t="s">
        <v>114</v>
      </c>
      <c r="K48" s="362"/>
      <c r="L48" s="362" t="s">
        <v>60</v>
      </c>
      <c r="M48" s="362"/>
      <c r="N48" s="363"/>
      <c r="P48" s="60" t="s">
        <v>58</v>
      </c>
      <c r="Q48" s="355" t="s">
        <v>114</v>
      </c>
      <c r="R48" s="356"/>
      <c r="S48" s="356" t="s">
        <v>60</v>
      </c>
      <c r="T48" s="356"/>
      <c r="U48" s="357"/>
      <c r="W48" s="60" t="s">
        <v>109</v>
      </c>
      <c r="X48" s="355" t="s">
        <v>107</v>
      </c>
      <c r="Y48" s="356"/>
      <c r="Z48" s="356"/>
      <c r="AA48" s="356"/>
      <c r="AB48" s="357"/>
      <c r="AD48" s="60" t="s">
        <v>109</v>
      </c>
      <c r="AE48" s="355" t="s">
        <v>107</v>
      </c>
      <c r="AF48" s="356"/>
      <c r="AG48" s="356"/>
      <c r="AH48" s="356"/>
      <c r="AI48" s="357"/>
      <c r="AK48" s="60" t="s">
        <v>109</v>
      </c>
      <c r="AL48" s="355" t="s">
        <v>107</v>
      </c>
      <c r="AM48" s="356"/>
      <c r="AN48" s="356"/>
      <c r="AO48" s="356"/>
      <c r="AP48" s="357"/>
    </row>
    <row r="49" spans="2:42" ht="15.75" thickBot="1" x14ac:dyDescent="0.3">
      <c r="B49" s="61"/>
      <c r="C49" s="118">
        <f>+E49*0.9</f>
        <v>8.5500000000000007</v>
      </c>
      <c r="D49" s="119">
        <f>+E49*0.95</f>
        <v>9.0250000000000004</v>
      </c>
      <c r="E49" s="120">
        <f>+E25</f>
        <v>9.5</v>
      </c>
      <c r="F49" s="119">
        <f>+E49*1.05</f>
        <v>9.9749999999999996</v>
      </c>
      <c r="G49" s="121">
        <f>+E49*1.1</f>
        <v>10.450000000000001</v>
      </c>
      <c r="I49" s="61"/>
      <c r="J49" s="118">
        <f>+L49*0.9</f>
        <v>8.5500000000000007</v>
      </c>
      <c r="K49" s="119">
        <f>+L49*0.95</f>
        <v>9.0250000000000004</v>
      </c>
      <c r="L49" s="120">
        <f>+L25</f>
        <v>9.5</v>
      </c>
      <c r="M49" s="119">
        <f>+L49*1.05</f>
        <v>9.9749999999999996</v>
      </c>
      <c r="N49" s="121">
        <f>+L49*1.1</f>
        <v>10.450000000000001</v>
      </c>
      <c r="P49" s="61"/>
      <c r="Q49" s="118">
        <f>+S49*0.9</f>
        <v>8.5500000000000007</v>
      </c>
      <c r="R49" s="119">
        <f>+S49*0.95</f>
        <v>9.0250000000000004</v>
      </c>
      <c r="S49" s="120">
        <f>+S25</f>
        <v>9.5</v>
      </c>
      <c r="T49" s="119">
        <f>+S49*1.05</f>
        <v>9.9749999999999996</v>
      </c>
      <c r="U49" s="121">
        <f>+S49*1.1</f>
        <v>10.450000000000001</v>
      </c>
      <c r="W49" s="61" t="s">
        <v>8</v>
      </c>
      <c r="X49" s="118">
        <f>+X25</f>
        <v>8.5500000000000007</v>
      </c>
      <c r="Y49" s="119">
        <f>+Z49*0.9</f>
        <v>8.5500000000000007</v>
      </c>
      <c r="Z49" s="120">
        <f>+Z25</f>
        <v>9.5</v>
      </c>
      <c r="AA49" s="119">
        <f>+AA25</f>
        <v>9.9749999999999996</v>
      </c>
      <c r="AB49" s="121">
        <f>+AB25</f>
        <v>10.450000000000001</v>
      </c>
      <c r="AD49" s="61" t="s">
        <v>8</v>
      </c>
      <c r="AE49" s="118">
        <f>+AE25</f>
        <v>8.5500000000000007</v>
      </c>
      <c r="AF49" s="119">
        <f>+AG49*0.9</f>
        <v>8.5500000000000007</v>
      </c>
      <c r="AG49" s="120">
        <f>+AG25</f>
        <v>9.5</v>
      </c>
      <c r="AH49" s="119">
        <f>+AH25</f>
        <v>9.9749999999999996</v>
      </c>
      <c r="AI49" s="121">
        <f>+AI25</f>
        <v>10.450000000000001</v>
      </c>
      <c r="AK49" s="61" t="s">
        <v>8</v>
      </c>
      <c r="AL49" s="118">
        <f>+AL34</f>
        <v>0.44</v>
      </c>
      <c r="AM49" s="119">
        <f>+AN49*0.9</f>
        <v>0.58500000000000008</v>
      </c>
      <c r="AN49" s="158">
        <f>+AN34</f>
        <v>0.65</v>
      </c>
      <c r="AO49" s="119">
        <f>+AO34</f>
        <v>0.7</v>
      </c>
      <c r="AP49" s="121">
        <f>+AP34</f>
        <v>0.8</v>
      </c>
    </row>
    <row r="50" spans="2:42" ht="15.75" thickTop="1" x14ac:dyDescent="0.25">
      <c r="B50" s="114">
        <f>+B52*0.8</f>
        <v>32</v>
      </c>
      <c r="C50" s="140">
        <f>+(C$25*$B50-$G$14-$G$18)+'Wheat Grain'!$G$37+'Wheat Grain'!$G$42</f>
        <v>-12.107874999999961</v>
      </c>
      <c r="D50" s="141">
        <f>+(D$25*$B50-$G$14-$G$18)+'Wheat Grain'!$G$37+'Wheat Grain'!$G$42</f>
        <v>3.0921250000000278</v>
      </c>
      <c r="E50" s="141">
        <f>+(E$25*$B50-$G$14-$G$18)+'Wheat Grain'!$G$37+'Wheat Grain'!$G$42</f>
        <v>18.292125000000016</v>
      </c>
      <c r="F50" s="141">
        <f>+(F$25*$B50-$G$14-$G$18)+'Wheat Grain'!$G$37+'Wheat Grain'!$G$42</f>
        <v>33.492125000000001</v>
      </c>
      <c r="G50" s="142">
        <f>+(G$25*$B50-$G$14-$G$18)+'Wheat Grain'!$G$37+'Wheat Grain'!$G$42</f>
        <v>48.692125000000047</v>
      </c>
      <c r="I50" s="114">
        <f>+I52*0.8</f>
        <v>28</v>
      </c>
      <c r="J50" s="140">
        <f>+(J$25*$I50+$N$9-$N$14-$N$18)+'Wheat Dual  ~700Lb'!$G$37+'Wheat Dual  ~700Lb'!$G$42</f>
        <v>17.971905000000039</v>
      </c>
      <c r="K50" s="141">
        <f>+(K$25*$I50+$N$9-$N$14-$N$18)+'Wheat Dual  ~700Lb'!$G$37+'Wheat Dual  ~700Lb'!$G$42</f>
        <v>31.27190500000005</v>
      </c>
      <c r="L50" s="141">
        <f>+(L$25*$I50+$N$9-$N$14-$N$18)+'Wheat Dual  ~700Lb'!$G$37+'Wheat Dual  ~700Lb'!$G$42</f>
        <v>44.571905000000001</v>
      </c>
      <c r="M50" s="141">
        <f>+(M$25*$I50+$N$9-$N$14-$N$18)+'Wheat Dual  ~700Lb'!$G$37+'Wheat Dual  ~700Lb'!$G$42</f>
        <v>57.871905000000012</v>
      </c>
      <c r="N50" s="142">
        <f>+(N$25*$I50+$N$9-$N$14-$N$18)+'Wheat Dual  ~700Lb'!$G$37+'Wheat Dual  ~700Lb'!$G$42</f>
        <v>71.171905000000024</v>
      </c>
      <c r="P50" s="114">
        <f>+P52*0.8</f>
        <v>28</v>
      </c>
      <c r="Q50" s="140">
        <f>+(Q$25*$P50*$U$7+$U$9-$U$14-$U$18)+'Wheat Dual ~800Lb'!$G$37+'Wheat Dual ~800Lb'!$G$42</f>
        <v>-52.806844999999967</v>
      </c>
      <c r="R50" s="141">
        <f>+(R$25*$P50*$U$7+$U$9-$U$14-$U$18)+'Wheat Dual ~800Lb'!$G$37+'Wheat Dual ~800Lb'!$G$42</f>
        <v>-44.494344999999996</v>
      </c>
      <c r="S50" s="141">
        <f>+(S$25*$P50*$U$7+$U$9-$U$14-$U$18)+'Wheat Dual ~800Lb'!$G$37+'Wheat Dual ~800Lb'!$G$42</f>
        <v>-36.181844999999996</v>
      </c>
      <c r="T50" s="141">
        <f>+(T$25*$P50*$U$7+$U$9-$U$14-$U$18)+'Wheat Dual ~800Lb'!$G$37+'Wheat Dual ~800Lb'!$G$42</f>
        <v>-27.869344999999992</v>
      </c>
      <c r="U50" s="142">
        <f>+(U$25*$P50*$U$7+$U$9-$U$14-$U$18)+'Wheat Dual ~800Lb'!$G$37+'Wheat Dual ~800Lb'!$G$42</f>
        <v>-19.556844999999992</v>
      </c>
      <c r="W50" s="114">
        <f>+W52*0.9</f>
        <v>31.5</v>
      </c>
      <c r="X50" s="140">
        <f>+(X$25*$W50)-$AB$14-$AB$18+'Fescue Established'!$F$43</f>
        <v>71.255915002715341</v>
      </c>
      <c r="Y50" s="141">
        <f>+(Y$25*$W50)-$AB$14-$AB$18+'Fescue Established'!$F$43</f>
        <v>86.218415002715318</v>
      </c>
      <c r="Z50" s="141">
        <f>+(Z$25*$W50)-$AB$14-$AB$18+'Fescue Established'!$F$43</f>
        <v>101.1809150027153</v>
      </c>
      <c r="AA50" s="141">
        <f>+(AA$25*$W50)-$AB$14-$AB$18+'Fescue Established'!$F$43</f>
        <v>116.14341500271527</v>
      </c>
      <c r="AB50" s="142">
        <f>+(AB$25*$W50)-$AB$14-$AB$18+'Fescue Established'!$F$43</f>
        <v>131.10591500271531</v>
      </c>
      <c r="AD50" s="114">
        <f>+AD52*0.9</f>
        <v>31.5</v>
      </c>
      <c r="AE50" s="140">
        <f>+'Wheat Farm Margins'!AL36</f>
        <v>-69.166844601808833</v>
      </c>
      <c r="AF50" s="141">
        <f>+'Wheat Farm Margins'!AM36</f>
        <v>-54.976840456600947</v>
      </c>
      <c r="AG50" s="141">
        <f>+'Wheat Farm Margins'!AN36</f>
        <v>-43.151837002261026</v>
      </c>
      <c r="AH50" s="141">
        <f>+'Wheat Farm Margins'!AO36</f>
        <v>-7.6768266392413391</v>
      </c>
      <c r="AI50" s="142">
        <f>+'Wheat Farm Margins'!AP36</f>
        <v>15.973180269438503</v>
      </c>
      <c r="AK50" s="114">
        <f>+AK52*0.9</f>
        <v>189.94474719101123</v>
      </c>
      <c r="AL50" s="140">
        <f t="shared" ref="AL50:AP54" si="19">+(AL$34*$AK50)-$AP$14-$AP$18</f>
        <v>-47.744374462699248</v>
      </c>
      <c r="AM50" s="141">
        <f t="shared" si="19"/>
        <v>-36.347689631238573</v>
      </c>
      <c r="AN50" s="141">
        <f t="shared" si="19"/>
        <v>-7.8559775525868787</v>
      </c>
      <c r="AO50" s="141">
        <f t="shared" si="19"/>
        <v>1.6412598069636744</v>
      </c>
      <c r="AP50" s="142">
        <f t="shared" si="19"/>
        <v>20.635734526064809</v>
      </c>
    </row>
    <row r="51" spans="2:42" ht="15.75" thickBot="1" x14ac:dyDescent="0.3">
      <c r="B51" s="115">
        <f>+B52*0.9</f>
        <v>36</v>
      </c>
      <c r="C51" s="143">
        <f>+(C$25*$B51-$G$14-$G$18)+'Wheat Grain'!$G$37+'Wheat Grain'!$G$42</f>
        <v>22.092125000000028</v>
      </c>
      <c r="D51" s="144">
        <f>+(D$25*$B51-$G$14-$G$18)+'Wheat Grain'!$G$37+'Wheat Grain'!$G$42</f>
        <v>39.192125000000047</v>
      </c>
      <c r="E51" s="152">
        <f>+(E$25*$B51-$G$14-$G$18)+'Wheat Grain'!$G$37+'Wheat Grain'!$G$42</f>
        <v>56.292125000000013</v>
      </c>
      <c r="F51" s="144">
        <f>+(F$25*$B51-$G$14-$G$18)+'Wheat Grain'!$G$37+'Wheat Grain'!$G$42</f>
        <v>73.392124999999979</v>
      </c>
      <c r="G51" s="145">
        <f>+(G$25*$B51-$G$14-$G$18)+'Wheat Grain'!$G$37+'Wheat Grain'!$G$42</f>
        <v>90.492125000000058</v>
      </c>
      <c r="I51" s="115">
        <f>+I52*0.9</f>
        <v>31.5</v>
      </c>
      <c r="J51" s="143">
        <f>+(J$25*$I51+$N$9-$N$14-$N$18)+'Wheat Dual  ~700Lb'!$G$37+'Wheat Dual  ~700Lb'!$G$42</f>
        <v>47.896905000000046</v>
      </c>
      <c r="K51" s="144">
        <f>+(K$25*$I51+$N$9-$N$14-$N$18)+'Wheat Dual  ~700Lb'!$G$37+'Wheat Dual  ~700Lb'!$G$42</f>
        <v>62.859405000000024</v>
      </c>
      <c r="L51" s="152">
        <f>+(L$25*$I51+$N$9-$N$14-$N$18)+'Wheat Dual  ~700Lb'!$G$37+'Wheat Dual  ~700Lb'!$G$42</f>
        <v>77.821905000000001</v>
      </c>
      <c r="M51" s="144">
        <f>+(M$25*$I51+$N$9-$N$14-$N$18)+'Wheat Dual  ~700Lb'!$G$37+'Wheat Dual  ~700Lb'!$G$42</f>
        <v>92.784404999999978</v>
      </c>
      <c r="N51" s="145">
        <f>+(N$25*$I51+$N$9-$N$14-$N$18)+'Wheat Dual  ~700Lb'!$G$37+'Wheat Dual  ~700Lb'!$G$42</f>
        <v>107.74690500000001</v>
      </c>
      <c r="P51" s="115">
        <f>+P52*0.9</f>
        <v>31.5</v>
      </c>
      <c r="Q51" s="143">
        <f>+(Q$25*$P51*$U$7+$U$9-$U$14-$U$18)+'Wheat Dual ~800Lb'!$G$37+'Wheat Dual ~800Lb'!$G$42</f>
        <v>-34.103719999999996</v>
      </c>
      <c r="R51" s="144">
        <f>+(R$25*$P51*$U$7+$U$9-$U$14-$U$18)+'Wheat Dual ~800Lb'!$G$37+'Wheat Dual ~800Lb'!$G$42</f>
        <v>-24.752157499999992</v>
      </c>
      <c r="S51" s="152">
        <f>+(S$25*$P51*$U$7+$U$9-$U$14-$U$18)+'Wheat Dual ~800Lb'!$G$37+'Wheat Dual ~800Lb'!$G$42</f>
        <v>-15.400594999999992</v>
      </c>
      <c r="T51" s="144">
        <f>+(T$25*$P51*$U$7+$U$9-$U$14-$U$18)+'Wheat Dual ~800Lb'!$G$37+'Wheat Dual ~800Lb'!$G$42</f>
        <v>-6.049032499999992</v>
      </c>
      <c r="U51" s="145">
        <f>+(U$25*$P51*$U$7+$U$9-$U$14-$U$18)+'Wheat Dual ~800Lb'!$G$37+'Wheat Dual ~800Lb'!$G$42</f>
        <v>3.302530000000008</v>
      </c>
      <c r="W51" s="115">
        <f>+W52*0.95</f>
        <v>33.25</v>
      </c>
      <c r="X51" s="143">
        <f>+(X$25*$W51)-$AB$14-$AB$18+'Fescue Established'!$F$43</f>
        <v>86.218415002715318</v>
      </c>
      <c r="Y51" s="144">
        <f>+(Y$25*$W51)-$AB$14-$AB$18+'Fescue Established'!$F$43</f>
        <v>102.01216500271531</v>
      </c>
      <c r="Z51" s="152">
        <f>+(Z$25*$W51)-$AB$14-$AB$18+'Fescue Established'!$F$43</f>
        <v>117.8059150027153</v>
      </c>
      <c r="AA51" s="144">
        <f>+(AA$25*$W51)-$AB$14-$AB$18+'Fescue Established'!$F$43</f>
        <v>133.59966500271528</v>
      </c>
      <c r="AB51" s="145">
        <f>+(AB$25*$W51)-$AB$14-$AB$18+'Fescue Established'!$F$43</f>
        <v>149.39341500271533</v>
      </c>
      <c r="AD51" s="115">
        <f>+AD52*0.95</f>
        <v>33.25</v>
      </c>
      <c r="AE51" s="143">
        <f>+'Wheat Farm Margins'!AL37</f>
        <v>-63.385731801909337</v>
      </c>
      <c r="AF51" s="144">
        <f>+'Wheat Farm Margins'!AM37</f>
        <v>-48.407394093078786</v>
      </c>
      <c r="AG51" s="152">
        <f>+'Wheat Farm Margins'!AN37</f>
        <v>-35.925446002386643</v>
      </c>
      <c r="AH51" s="144">
        <f>+'Wheat Farm Margins'!AO37</f>
        <v>1.5203982696896805</v>
      </c>
      <c r="AI51" s="145">
        <f>+'Wheat Farm Margins'!AP37</f>
        <v>26.484294451073936</v>
      </c>
      <c r="AK51" s="115">
        <f>+AK52*0.95</f>
        <v>200.4972331460674</v>
      </c>
      <c r="AL51" s="143">
        <f t="shared" si="19"/>
        <v>-43.101280642474528</v>
      </c>
      <c r="AM51" s="144">
        <f t="shared" si="19"/>
        <v>-31.071446653710488</v>
      </c>
      <c r="AN51" s="152">
        <f t="shared" si="19"/>
        <v>-0.99686168180035395</v>
      </c>
      <c r="AO51" s="144">
        <f t="shared" si="19"/>
        <v>9.0279999755029934</v>
      </c>
      <c r="AP51" s="145">
        <f t="shared" si="19"/>
        <v>29.077723290109745</v>
      </c>
    </row>
    <row r="52" spans="2:42" ht="15.75" thickBot="1" x14ac:dyDescent="0.3">
      <c r="B52" s="116">
        <f>+B28</f>
        <v>40</v>
      </c>
      <c r="C52" s="143">
        <f>+(C$25*$B52-$G$14-$G$18)+'Wheat Grain'!$G$37+'Wheat Grain'!$G$42</f>
        <v>56.292125000000013</v>
      </c>
      <c r="D52" s="149">
        <f>+(D$25*$B52-$G$14-$G$18)+'Wheat Grain'!$G$37+'Wheat Grain'!$G$42</f>
        <v>75.292125000000013</v>
      </c>
      <c r="E52" s="137">
        <f>+(E$25*$B52-$G$14-$G$18)+'Wheat Grain'!$G$37+'Wheat Grain'!$G$42</f>
        <v>94.292125000000013</v>
      </c>
      <c r="F52" s="151">
        <f>+(F$25*$B52-$G$14-$G$18)+'Wheat Grain'!$G$37+'Wheat Grain'!$G$42</f>
        <v>113.29212500000001</v>
      </c>
      <c r="G52" s="145">
        <f>+(G$25*$B52-$G$14-$G$18)+'Wheat Grain'!$G$37+'Wheat Grain'!$G$42</f>
        <v>132.29212500000008</v>
      </c>
      <c r="I52" s="116">
        <f>+I28</f>
        <v>35</v>
      </c>
      <c r="J52" s="143">
        <f>+(J$25*$I52+$N$9-$N$14-$N$18)+'Wheat Dual  ~700Lb'!$G$37+'Wheat Dual  ~700Lb'!$G$42</f>
        <v>77.821905000000001</v>
      </c>
      <c r="K52" s="149">
        <f>+(K$25*$I52+$N$9-$N$14-$N$18)+'Wheat Dual  ~700Lb'!$G$37+'Wheat Dual  ~700Lb'!$G$42</f>
        <v>94.446905000000001</v>
      </c>
      <c r="L52" s="137">
        <f>+(L$25*$I52+$N$9-$N$14-$N$18)+'Wheat Dual  ~700Lb'!$G$37+'Wheat Dual  ~700Lb'!$G$42</f>
        <v>111.071905</v>
      </c>
      <c r="M52" s="151">
        <f>+(M$25*$I52+$N$9-$N$14-$N$18)+'Wheat Dual  ~700Lb'!$G$37+'Wheat Dual  ~700Lb'!$G$42</f>
        <v>127.696905</v>
      </c>
      <c r="N52" s="145">
        <f>+(N$25*$I52+$N$9-$N$14-$N$18)+'Wheat Dual  ~700Lb'!$G$37+'Wheat Dual  ~700Lb'!$G$42</f>
        <v>144.32190500000007</v>
      </c>
      <c r="P52" s="116">
        <f>+P28</f>
        <v>35</v>
      </c>
      <c r="Q52" s="143">
        <f>+(Q$25*$P52*$U$7+$U$9-$U$14-$U$18)+'Wheat Dual ~800Lb'!$G$37+'Wheat Dual ~800Lb'!$G$42</f>
        <v>-15.400594999999992</v>
      </c>
      <c r="R52" s="149">
        <f>+(R$25*$P52*$U$7+$U$9-$U$14-$U$18)+'Wheat Dual ~800Lb'!$G$37+'Wheat Dual ~800Lb'!$G$42</f>
        <v>-5.009969999999992</v>
      </c>
      <c r="S52" s="137">
        <f>+(S$25*$P52*$U$7+$U$9-$U$14-$U$18)+'Wheat Dual ~800Lb'!$G$37+'Wheat Dual ~800Lb'!$G$42</f>
        <v>5.380655000000008</v>
      </c>
      <c r="T52" s="151">
        <f>+(T$25*$P52*$U$7+$U$9-$U$14-$U$18)+'Wheat Dual ~800Lb'!$G$37+'Wheat Dual ~800Lb'!$G$42</f>
        <v>15.771280000000008</v>
      </c>
      <c r="U52" s="145">
        <f>+(U$25*$P52*$U$7+$U$9-$U$14-$U$18)+'Wheat Dual ~800Lb'!$G$37+'Wheat Dual ~800Lb'!$G$42</f>
        <v>26.161905000000008</v>
      </c>
      <c r="W52" s="116">
        <f>+W28</f>
        <v>35</v>
      </c>
      <c r="X52" s="143">
        <f>+(X$25*$W52)-$AB$14-$AB$18+'Fescue Established'!$F$43</f>
        <v>101.1809150027153</v>
      </c>
      <c r="Y52" s="149">
        <f>+(Y$25*$W52)-$AB$14-$AB$18+'Fescue Established'!$F$43</f>
        <v>117.8059150027153</v>
      </c>
      <c r="Z52" s="137">
        <f>+(Z$25*$W52)-$AB$14-$AB$18+'Fescue Established'!$F$43</f>
        <v>134.4309150027153</v>
      </c>
      <c r="AA52" s="151">
        <f>+(AA$25*$W52)-$AB$14-$AB$18+'Fescue Established'!$F$43</f>
        <v>151.0559150027153</v>
      </c>
      <c r="AB52" s="145">
        <f>+(AB$25*$W52)-$AB$14-$AB$18+'Fescue Established'!$F$43</f>
        <v>167.68091500271535</v>
      </c>
      <c r="AD52" s="116">
        <f>+AD28</f>
        <v>35</v>
      </c>
      <c r="AE52" s="143">
        <f>+'Wheat Farm Margins'!AL38</f>
        <v>-57.604619002009819</v>
      </c>
      <c r="AF52" s="149">
        <f>+'Wheat Farm Margins'!AM38</f>
        <v>-41.83794772955661</v>
      </c>
      <c r="AG52" s="137">
        <f>+'Wheat Farm Margins'!AN38</f>
        <v>-28.69905500251226</v>
      </c>
      <c r="AH52" s="151">
        <f>+'Wheat Farm Margins'!AO38</f>
        <v>10.717623178620729</v>
      </c>
      <c r="AI52" s="145">
        <f>+'Wheat Farm Margins'!AP38</f>
        <v>36.995408632709434</v>
      </c>
      <c r="AK52" s="116">
        <f>+AK37</f>
        <v>211.0497191011236</v>
      </c>
      <c r="AL52" s="143">
        <f t="shared" si="19"/>
        <v>-38.458186822249807</v>
      </c>
      <c r="AM52" s="149">
        <f t="shared" si="19"/>
        <v>-25.795203676182389</v>
      </c>
      <c r="AN52" s="137">
        <f t="shared" si="19"/>
        <v>5.8622541889861708</v>
      </c>
      <c r="AO52" s="151">
        <f t="shared" si="19"/>
        <v>16.414740144042341</v>
      </c>
      <c r="AP52" s="145">
        <f t="shared" si="19"/>
        <v>37.519712054154709</v>
      </c>
    </row>
    <row r="53" spans="2:42" x14ac:dyDescent="0.25">
      <c r="B53" s="115">
        <f>+B52*1.1</f>
        <v>44</v>
      </c>
      <c r="C53" s="143">
        <f>+(C$25*$B53-$G$14-$G$18)+'Wheat Grain'!$G$37+'Wheat Grain'!$G$42</f>
        <v>90.492125000000058</v>
      </c>
      <c r="D53" s="144">
        <f>+(D$25*$B53-$G$14-$G$18)+'Wheat Grain'!$G$37+'Wheat Grain'!$G$42</f>
        <v>111.39212500000004</v>
      </c>
      <c r="E53" s="153">
        <f>+(E$25*$B53-$G$14-$G$18)+'Wheat Grain'!$G$37+'Wheat Grain'!$G$42</f>
        <v>132.29212500000003</v>
      </c>
      <c r="F53" s="144">
        <f>+(F$25*$B53-$G$14-$G$18)+'Wheat Grain'!$G$37+'Wheat Grain'!$G$42</f>
        <v>153.192125</v>
      </c>
      <c r="G53" s="145">
        <f>+(G$25*$B53-$G$14-$G$18)+'Wheat Grain'!$G$37+'Wheat Grain'!$G$42</f>
        <v>174.0921250000001</v>
      </c>
      <c r="I53" s="115">
        <f>+I52*1.1</f>
        <v>38.5</v>
      </c>
      <c r="J53" s="143">
        <f>+(J$25*$I53+$N$9-$N$14-$N$18)+'Wheat Dual  ~700Lb'!$G$37+'Wheat Dual  ~700Lb'!$G$42</f>
        <v>107.74690500000001</v>
      </c>
      <c r="K53" s="144">
        <f>+(K$25*$I53+$N$9-$N$14-$N$18)+'Wheat Dual  ~700Lb'!$G$37+'Wheat Dual  ~700Lb'!$G$42</f>
        <v>126.03440500000004</v>
      </c>
      <c r="L53" s="153">
        <f>+(L$25*$I53+$N$9-$N$14-$N$18)+'Wheat Dual  ~700Lb'!$G$37+'Wheat Dual  ~700Lb'!$G$42</f>
        <v>144.32190500000002</v>
      </c>
      <c r="M53" s="144">
        <f>+(M$25*$I53+$N$9-$N$14-$N$18)+'Wheat Dual  ~700Lb'!$G$37+'Wheat Dual  ~700Lb'!$G$42</f>
        <v>162.60940499999995</v>
      </c>
      <c r="N53" s="145">
        <f>+(N$25*$I53+$N$9-$N$14-$N$18)+'Wheat Dual  ~700Lb'!$G$37+'Wheat Dual  ~700Lb'!$G$42</f>
        <v>180.89690500000003</v>
      </c>
      <c r="P53" s="115">
        <f>+P52*1.1</f>
        <v>38.5</v>
      </c>
      <c r="Q53" s="143">
        <f>+(Q$25*$P53*$U$7+$U$9-$U$14-$U$18)+'Wheat Dual ~800Lb'!$G$37+'Wheat Dual ~800Lb'!$G$42</f>
        <v>3.302530000000008</v>
      </c>
      <c r="R53" s="144">
        <f>+(R$25*$P53*$U$7+$U$9-$U$14-$U$18)+'Wheat Dual ~800Lb'!$G$37+'Wheat Dual ~800Lb'!$G$42</f>
        <v>14.732217500000008</v>
      </c>
      <c r="S53" s="153">
        <f>+(S$25*$P53*$U$7+$U$9-$U$14-$U$18)+'Wheat Dual ~800Lb'!$G$37+'Wheat Dual ~800Lb'!$G$42</f>
        <v>26.161905000000008</v>
      </c>
      <c r="T53" s="144">
        <f>+(T$25*$P53*$U$7+$U$9-$U$14-$U$18)+'Wheat Dual ~800Lb'!$G$37+'Wheat Dual ~800Lb'!$G$42</f>
        <v>37.591592500000004</v>
      </c>
      <c r="U53" s="145">
        <f>+(U$25*$P53*$U$7+$U$9-$U$14-$U$18)+'Wheat Dual ~800Lb'!$G$37+'Wheat Dual ~800Lb'!$G$42</f>
        <v>49.021280000000004</v>
      </c>
      <c r="W53" s="115">
        <f>+W52*1.05</f>
        <v>36.75</v>
      </c>
      <c r="X53" s="143">
        <f>+(X$25*$W53)-$AB$14-$AB$18+'Fescue Established'!$F$43</f>
        <v>116.14341500271533</v>
      </c>
      <c r="Y53" s="144">
        <f>+(Y$25*$W53)-$AB$14-$AB$18+'Fescue Established'!$F$43</f>
        <v>133.59966500271528</v>
      </c>
      <c r="Z53" s="153">
        <f>+(Z$25*$W53)-$AB$14-$AB$18+'Fescue Established'!$F$43</f>
        <v>151.0559150027153</v>
      </c>
      <c r="AA53" s="144">
        <f>+(AA$25*$W53)-$AB$14-$AB$18+'Fescue Established'!$F$43</f>
        <v>168.51216500271531</v>
      </c>
      <c r="AB53" s="145">
        <f>+(AB$25*$W53)-$AB$14-$AB$18+'Fescue Established'!$F$43</f>
        <v>185.96841500271529</v>
      </c>
      <c r="AD53" s="115">
        <f>+AD52*1.05</f>
        <v>36.75</v>
      </c>
      <c r="AE53" s="143">
        <f>+'Wheat Farm Margins'!AL39</f>
        <v>-51.823506202110288</v>
      </c>
      <c r="AF53" s="144">
        <f>+'Wheat Farm Margins'!AM39</f>
        <v>-35.268501366034421</v>
      </c>
      <c r="AG53" s="153">
        <f>+'Wheat Farm Margins'!AN39</f>
        <v>-21.472664002637856</v>
      </c>
      <c r="AH53" s="144">
        <f>+'Wheat Farm Margins'!AO39</f>
        <v>19.914848087551803</v>
      </c>
      <c r="AI53" s="145">
        <f>+'Wheat Farm Margins'!AP39</f>
        <v>47.506522814344926</v>
      </c>
      <c r="AK53" s="115">
        <f>+AK52*1.05</f>
        <v>221.6022050561798</v>
      </c>
      <c r="AL53" s="143">
        <f t="shared" si="19"/>
        <v>-33.815093002025073</v>
      </c>
      <c r="AM53" s="144">
        <f t="shared" si="19"/>
        <v>-20.51896069865429</v>
      </c>
      <c r="AN53" s="153">
        <f t="shared" si="19"/>
        <v>12.721370059772696</v>
      </c>
      <c r="AO53" s="144">
        <f t="shared" si="19"/>
        <v>23.80148031258166</v>
      </c>
      <c r="AP53" s="145">
        <f t="shared" si="19"/>
        <v>45.961700818199674</v>
      </c>
    </row>
    <row r="54" spans="2:42" ht="15.75" thickBot="1" x14ac:dyDescent="0.3">
      <c r="B54" s="117">
        <f>+B52*1.2</f>
        <v>48</v>
      </c>
      <c r="C54" s="146">
        <f>+(C$25*$B54-$G$14-$G$18)+'Wheat Grain'!$G$37+'Wheat Grain'!$G$42</f>
        <v>124.69212500000005</v>
      </c>
      <c r="D54" s="147">
        <f>+(D$25*$B54-$G$14-$G$18)+'Wheat Grain'!$G$37+'Wheat Grain'!$G$42</f>
        <v>147.49212500000007</v>
      </c>
      <c r="E54" s="147">
        <f>+(E$25*$B54-$G$14-$G$18)+'Wheat Grain'!$G$37+'Wheat Grain'!$G$42</f>
        <v>170.29212500000003</v>
      </c>
      <c r="F54" s="147">
        <f>+(F$25*$B54-$G$14-$G$18)+'Wheat Grain'!$G$37+'Wheat Grain'!$G$42</f>
        <v>193.09212499999998</v>
      </c>
      <c r="G54" s="148">
        <f>+(G$25*$B54-$G$14-$G$18)+'Wheat Grain'!$G$37+'Wheat Grain'!$G$42</f>
        <v>215.89212500000005</v>
      </c>
      <c r="I54" s="117">
        <f>+I52*1.2</f>
        <v>42</v>
      </c>
      <c r="J54" s="146">
        <f>+(J$25*$I54+$N$9-$N$14-$N$18)+'Wheat Dual  ~700Lb'!$G$37+'Wheat Dual  ~700Lb'!$G$42</f>
        <v>137.67190500000004</v>
      </c>
      <c r="K54" s="147">
        <f>+(K$25*$I54+$N$9-$N$14-$N$18)+'Wheat Dual  ~700Lb'!$G$37+'Wheat Dual  ~700Lb'!$G$42</f>
        <v>157.621905</v>
      </c>
      <c r="L54" s="147">
        <f>+(L$25*$I54+$N$9-$N$14-$N$18)+'Wheat Dual  ~700Lb'!$G$37+'Wheat Dual  ~700Lb'!$G$42</f>
        <v>177.57190499999999</v>
      </c>
      <c r="M54" s="147">
        <f>+(M$25*$I54+$N$9-$N$14-$N$18)+'Wheat Dual  ~700Lb'!$G$37+'Wheat Dual  ~700Lb'!$G$42</f>
        <v>197.52190499999998</v>
      </c>
      <c r="N54" s="148">
        <f>+(N$25*$I54+$N$9-$N$14-$N$18)+'Wheat Dual  ~700Lb'!$G$37+'Wheat Dual  ~700Lb'!$G$42</f>
        <v>217.47190500000008</v>
      </c>
      <c r="P54" s="117">
        <f>+P52*1.2</f>
        <v>42</v>
      </c>
      <c r="Q54" s="146">
        <f>+(Q$25*$P54*$U$7+$U$9-$U$14-$U$18)+'Wheat Dual ~800Lb'!$G$37+'Wheat Dual ~800Lb'!$G$42</f>
        <v>22.005655000000008</v>
      </c>
      <c r="R54" s="147">
        <f>+(R$25*$P54*$U$7+$U$9-$U$14-$U$18)+'Wheat Dual ~800Lb'!$G$37+'Wheat Dual ~800Lb'!$G$42</f>
        <v>34.474405000000004</v>
      </c>
      <c r="S54" s="147">
        <f>+(S$25*$P54*$U$7+$U$9-$U$14-$U$18)+'Wheat Dual ~800Lb'!$G$37+'Wheat Dual ~800Lb'!$G$42</f>
        <v>46.943155000000004</v>
      </c>
      <c r="T54" s="147">
        <f>+(T$25*$P54*$U$7+$U$9-$U$14-$U$18)+'Wheat Dual ~800Lb'!$G$37+'Wheat Dual ~800Lb'!$G$42</f>
        <v>59.411905000000004</v>
      </c>
      <c r="U54" s="148">
        <f>+(U$25*$P54*$U$7+$U$9-$U$14-$U$18)+'Wheat Dual ~800Lb'!$G$37+'Wheat Dual ~800Lb'!$G$42</f>
        <v>71.880655000000004</v>
      </c>
      <c r="W54" s="117">
        <f>+W53*1.1</f>
        <v>40.425000000000004</v>
      </c>
      <c r="X54" s="146">
        <f>+(X$25*$W54)-$AB$14-$AB$18+'Fescue Established'!$F$43</f>
        <v>147.56466500271537</v>
      </c>
      <c r="Y54" s="147">
        <f>+(Y$25*$W54)-$AB$14-$AB$18+'Fescue Established'!$F$43</f>
        <v>166.76654000271535</v>
      </c>
      <c r="Z54" s="147">
        <f>+(Z$25*$W54)-$AB$14-$AB$18+'Fescue Established'!$F$43</f>
        <v>185.96841500271529</v>
      </c>
      <c r="AA54" s="147">
        <f>+(AA$25*$W54)-$AB$14-$AB$18+'Fescue Established'!$F$43</f>
        <v>205.17029000271532</v>
      </c>
      <c r="AB54" s="148">
        <f>+(AB$25*$W54)-$AB$14-$AB$18+'Fescue Established'!$F$43</f>
        <v>224.37216500271535</v>
      </c>
      <c r="AD54" s="117">
        <f>+AD53*1.1</f>
        <v>40.425000000000004</v>
      </c>
      <c r="AE54" s="146">
        <f>+'Wheat Farm Margins'!AL40</f>
        <v>-39.683169322321298</v>
      </c>
      <c r="AF54" s="147">
        <f>+'Wheat Farm Margins'!AM40</f>
        <v>-21.472664002637856</v>
      </c>
      <c r="AG54" s="147">
        <f>+'Wheat Farm Margins'!AN40</f>
        <v>-6.2972429029016137</v>
      </c>
      <c r="AH54" s="147">
        <f>+'Wheat Farm Margins'!AO40</f>
        <v>39.229020396307</v>
      </c>
      <c r="AI54" s="148">
        <f>+'Wheat Farm Margins'!AP40</f>
        <v>69.579862595779446</v>
      </c>
      <c r="AK54" s="117">
        <f>+AK53*1.1</f>
        <v>243.76242556179778</v>
      </c>
      <c r="AL54" s="146">
        <f t="shared" si="19"/>
        <v>-24.064595979553168</v>
      </c>
      <c r="AM54" s="147">
        <f t="shared" si="19"/>
        <v>-9.43885044584529</v>
      </c>
      <c r="AN54" s="147">
        <f t="shared" si="19"/>
        <v>27.12551338842438</v>
      </c>
      <c r="AO54" s="147">
        <f t="shared" si="19"/>
        <v>39.313634666514261</v>
      </c>
      <c r="AP54" s="148">
        <f t="shared" si="19"/>
        <v>63.689877222694051</v>
      </c>
    </row>
    <row r="55" spans="2:42" ht="16.5" thickTop="1" thickBot="1" x14ac:dyDescent="0.3">
      <c r="B55" s="92"/>
      <c r="C55" s="91"/>
      <c r="D55" s="91"/>
      <c r="E55" s="91"/>
      <c r="F55" s="91"/>
      <c r="G55" s="91"/>
      <c r="I55" s="92"/>
      <c r="J55" s="91"/>
      <c r="K55" s="91"/>
      <c r="L55" s="91"/>
      <c r="M55" s="91"/>
      <c r="N55" s="91"/>
      <c r="P55" s="92"/>
      <c r="Q55" s="91"/>
      <c r="R55" s="91"/>
      <c r="S55" s="91"/>
      <c r="T55" s="91"/>
      <c r="U55" s="91"/>
      <c r="W55" s="92"/>
      <c r="X55" s="91"/>
      <c r="Y55" s="91"/>
      <c r="Z55" s="91"/>
      <c r="AA55" s="91"/>
      <c r="AB55" s="91"/>
      <c r="AD55" s="92"/>
      <c r="AE55" s="91"/>
      <c r="AF55" s="91"/>
      <c r="AG55" s="91"/>
      <c r="AH55" s="91"/>
      <c r="AI55" s="91"/>
      <c r="AK55" s="92"/>
      <c r="AL55" s="91"/>
      <c r="AM55" s="91"/>
      <c r="AN55" s="91"/>
      <c r="AO55" s="91"/>
      <c r="AP55" s="91"/>
    </row>
    <row r="56" spans="2:42" ht="16.5" thickTop="1" thickBot="1" x14ac:dyDescent="0.3">
      <c r="B56" s="352" t="s">
        <v>118</v>
      </c>
      <c r="C56" s="353"/>
      <c r="D56" s="353"/>
      <c r="E56" s="353"/>
      <c r="F56" s="353"/>
      <c r="G56" s="354"/>
      <c r="I56" s="352" t="s">
        <v>116</v>
      </c>
      <c r="J56" s="353"/>
      <c r="K56" s="353"/>
      <c r="L56" s="353"/>
      <c r="M56" s="353"/>
      <c r="N56" s="354"/>
      <c r="P56" s="352" t="s">
        <v>116</v>
      </c>
      <c r="Q56" s="353"/>
      <c r="R56" s="353"/>
      <c r="S56" s="353"/>
      <c r="T56" s="353"/>
      <c r="U56" s="354"/>
      <c r="W56" s="352" t="s">
        <v>116</v>
      </c>
      <c r="X56" s="353"/>
      <c r="Y56" s="353"/>
      <c r="Z56" s="353"/>
      <c r="AA56" s="353"/>
      <c r="AB56" s="354"/>
      <c r="AD56" s="352" t="s">
        <v>116</v>
      </c>
      <c r="AE56" s="353"/>
      <c r="AF56" s="353"/>
      <c r="AG56" s="353"/>
      <c r="AH56" s="353"/>
      <c r="AI56" s="354"/>
      <c r="AK56" s="352" t="s">
        <v>116</v>
      </c>
      <c r="AL56" s="353"/>
      <c r="AM56" s="353"/>
      <c r="AN56" s="353"/>
      <c r="AO56" s="353"/>
      <c r="AP56" s="354"/>
    </row>
    <row r="57" spans="2:42" ht="15.75" thickTop="1" x14ac:dyDescent="0.25">
      <c r="B57" s="60" t="s">
        <v>58</v>
      </c>
      <c r="C57" s="361" t="s">
        <v>114</v>
      </c>
      <c r="D57" s="362"/>
      <c r="E57" s="362" t="s">
        <v>60</v>
      </c>
      <c r="F57" s="362"/>
      <c r="G57" s="363"/>
      <c r="I57" s="60" t="s">
        <v>58</v>
      </c>
      <c r="J57" s="361" t="s">
        <v>114</v>
      </c>
      <c r="K57" s="362"/>
      <c r="L57" s="362" t="s">
        <v>60</v>
      </c>
      <c r="M57" s="362"/>
      <c r="N57" s="363"/>
      <c r="P57" s="60" t="s">
        <v>58</v>
      </c>
      <c r="Q57" s="355" t="s">
        <v>114</v>
      </c>
      <c r="R57" s="356"/>
      <c r="S57" s="356" t="s">
        <v>60</v>
      </c>
      <c r="T57" s="356"/>
      <c r="U57" s="357"/>
      <c r="W57" s="60" t="s">
        <v>109</v>
      </c>
      <c r="X57" s="355" t="s">
        <v>107</v>
      </c>
      <c r="Y57" s="356"/>
      <c r="Z57" s="356"/>
      <c r="AA57" s="356"/>
      <c r="AB57" s="357"/>
      <c r="AD57" s="60" t="s">
        <v>109</v>
      </c>
      <c r="AE57" s="355" t="s">
        <v>107</v>
      </c>
      <c r="AF57" s="356"/>
      <c r="AG57" s="356"/>
      <c r="AH57" s="356"/>
      <c r="AI57" s="357"/>
      <c r="AK57" s="60" t="s">
        <v>109</v>
      </c>
      <c r="AL57" s="355" t="s">
        <v>107</v>
      </c>
      <c r="AM57" s="356"/>
      <c r="AN57" s="356"/>
      <c r="AO57" s="356"/>
      <c r="AP57" s="357"/>
    </row>
    <row r="58" spans="2:42" ht="15.75" thickBot="1" x14ac:dyDescent="0.3">
      <c r="B58" s="61"/>
      <c r="C58" s="74">
        <f>+E58*0.9</f>
        <v>8.5500000000000007</v>
      </c>
      <c r="D58" s="75">
        <f>+E58*0.95</f>
        <v>9.0250000000000004</v>
      </c>
      <c r="E58" s="80">
        <f>+E49</f>
        <v>9.5</v>
      </c>
      <c r="F58" s="75">
        <f>+E58*1.05</f>
        <v>9.9749999999999996</v>
      </c>
      <c r="G58" s="76">
        <f>+E58*1.1</f>
        <v>10.450000000000001</v>
      </c>
      <c r="I58" s="61"/>
      <c r="J58" s="74">
        <f>+L58*0.9</f>
        <v>8.5500000000000007</v>
      </c>
      <c r="K58" s="75">
        <f>+L58*0.95</f>
        <v>9.0250000000000004</v>
      </c>
      <c r="L58" s="80">
        <f>+L49</f>
        <v>9.5</v>
      </c>
      <c r="M58" s="75">
        <f>+L58*1.05</f>
        <v>9.9749999999999996</v>
      </c>
      <c r="N58" s="76">
        <f>+L58*1.1</f>
        <v>10.450000000000001</v>
      </c>
      <c r="P58" s="61"/>
      <c r="Q58" s="74">
        <f>+S58*0.9</f>
        <v>8.5500000000000007</v>
      </c>
      <c r="R58" s="75">
        <f>+S58*0.95</f>
        <v>9.0250000000000004</v>
      </c>
      <c r="S58" s="80">
        <f>+S49</f>
        <v>9.5</v>
      </c>
      <c r="T58" s="75">
        <f>+S58*1.05</f>
        <v>9.9749999999999996</v>
      </c>
      <c r="U58" s="76">
        <f>+S58*1.1</f>
        <v>10.450000000000001</v>
      </c>
      <c r="W58" s="61" t="s">
        <v>8</v>
      </c>
      <c r="X58" s="74">
        <f>+X49</f>
        <v>8.5500000000000007</v>
      </c>
      <c r="Y58" s="75">
        <f>+Y49</f>
        <v>8.5500000000000007</v>
      </c>
      <c r="Z58" s="80">
        <f>+Z49</f>
        <v>9.5</v>
      </c>
      <c r="AA58" s="75">
        <f>+AA49</f>
        <v>9.9749999999999996</v>
      </c>
      <c r="AB58" s="76">
        <f>+AB49</f>
        <v>10.450000000000001</v>
      </c>
      <c r="AD58" s="61" t="s">
        <v>8</v>
      </c>
      <c r="AE58" s="74">
        <f>+AE49</f>
        <v>8.5500000000000007</v>
      </c>
      <c r="AF58" s="75">
        <f>+AF49</f>
        <v>8.5500000000000007</v>
      </c>
      <c r="AG58" s="80">
        <f>+AG49</f>
        <v>9.5</v>
      </c>
      <c r="AH58" s="75">
        <f>+AH49</f>
        <v>9.9749999999999996</v>
      </c>
      <c r="AI58" s="76">
        <f>+AI49</f>
        <v>10.450000000000001</v>
      </c>
      <c r="AK58" s="61" t="s">
        <v>8</v>
      </c>
      <c r="AL58" s="74">
        <f t="shared" ref="AL58:AP63" si="20">+AL49</f>
        <v>0.44</v>
      </c>
      <c r="AM58" s="75">
        <f t="shared" si="20"/>
        <v>0.58500000000000008</v>
      </c>
      <c r="AN58" s="90">
        <f t="shared" si="20"/>
        <v>0.65</v>
      </c>
      <c r="AO58" s="75">
        <f t="shared" si="20"/>
        <v>0.7</v>
      </c>
      <c r="AP58" s="76">
        <f t="shared" si="20"/>
        <v>0.8</v>
      </c>
    </row>
    <row r="59" spans="2:42" ht="15.75" thickTop="1" x14ac:dyDescent="0.25">
      <c r="B59" s="62">
        <f>+B61*0.8</f>
        <v>32</v>
      </c>
      <c r="C59" s="63">
        <f>+(C$25*$B59-$G$14-$G$18)+'Wheat Grain'!$G$37+'Wheat Grain'!$G$42+$G$13-$G$65</f>
        <v>21.292125000000045</v>
      </c>
      <c r="D59" s="64">
        <f>+(D$25*$B59-$G$14-$G$18)+'Wheat Grain'!$G$37+'Wheat Grain'!$G$42+$G$13-$G$65</f>
        <v>36.49212500000003</v>
      </c>
      <c r="E59" s="64">
        <f>+(E$25*$B59-$G$14-$G$18)+'Wheat Grain'!$G$37+'Wheat Grain'!$G$42+$G$13-$G$65</f>
        <v>51.692125000000019</v>
      </c>
      <c r="F59" s="64">
        <f>+(F$25*$B59-$G$14-$G$18)+'Wheat Grain'!$G$37+'Wheat Grain'!$G$42+$G$13-$G$65</f>
        <v>66.892125000000007</v>
      </c>
      <c r="G59" s="65">
        <f>+(G$25*$B59-$G$14-$G$18)+'Wheat Grain'!$G$37+'Wheat Grain'!$G$42+$G$13-$G$65</f>
        <v>82.092125000000053</v>
      </c>
      <c r="I59" s="62">
        <f>+I61*0.8</f>
        <v>28</v>
      </c>
      <c r="J59" s="63">
        <f>+(J$25*$I59+$N$9-$N$14-$N$18)+'Wheat Dual  ~700Lb'!$G$37+'Wheat Dual  ~700Lb'!$G$42+$N$13-$N$65</f>
        <v>51.371905000000041</v>
      </c>
      <c r="K59" s="64">
        <f>+(K$25*$I59+$N$9-$N$14-$N$18)+'Wheat Dual  ~700Lb'!$G$37+'Wheat Dual  ~700Lb'!$G$42+$N$13-$N$65</f>
        <v>64.671905000000052</v>
      </c>
      <c r="L59" s="64">
        <f>+(L$25*$I59+$N$9-$N$14-$N$18)+'Wheat Dual  ~700Lb'!$G$37+'Wheat Dual  ~700Lb'!$G$42+$N$13-$N$65</f>
        <v>77.971905000000007</v>
      </c>
      <c r="M59" s="64">
        <f>+(M$25*$I59+$N$9-$N$14-$N$18)+'Wheat Dual  ~700Lb'!$G$37+'Wheat Dual  ~700Lb'!$G$42+$N$13-$N$65</f>
        <v>91.271905000000018</v>
      </c>
      <c r="N59" s="65">
        <f>+(N$25*$I59+$N$9-$N$14-$N$18)+'Wheat Dual  ~700Lb'!$G$37+'Wheat Dual  ~700Lb'!$G$42+$N$13-$N$65</f>
        <v>104.57190500000003</v>
      </c>
      <c r="P59" s="62">
        <f>+P61*0.8</f>
        <v>28</v>
      </c>
      <c r="Q59" s="63">
        <f>+(Q$25*$P59*$U$7+$U$9-$U$14-$U$18)+'Wheat Dual ~800Lb'!$G$37+'Wheat Dual ~800Lb'!$G$42+$U$13-$U$65*$U$7</f>
        <v>-31.931844999999967</v>
      </c>
      <c r="R59" s="64">
        <f>+(R$25*$P59*$U$7+$U$9-$U$14-$U$18)+'Wheat Dual ~800Lb'!$G$37+'Wheat Dual ~800Lb'!$G$42+$U$13-$U$65*$U$7</f>
        <v>-23.619344999999996</v>
      </c>
      <c r="S59" s="64">
        <f>+(S$25*$P59*$U$7+$U$9-$U$14-$U$18)+'Wheat Dual ~800Lb'!$G$37+'Wheat Dual ~800Lb'!$G$42+$U$13-$U$65*$U$7</f>
        <v>-15.306844999999996</v>
      </c>
      <c r="T59" s="64">
        <f>+(T$25*$P59*$U$7+$U$9-$U$14-$U$18)+'Wheat Dual ~800Lb'!$G$37+'Wheat Dual ~800Lb'!$G$42+$U$13-$U$65*$U$7</f>
        <v>-6.994344999999992</v>
      </c>
      <c r="U59" s="65">
        <f>+(U$25*$P59*$U$7+$U$9-$U$14-$U$18)+'Wheat Dual ~800Lb'!$G$37+'Wheat Dual ~800Lb'!$G$42+$U$13-$U$65*$U$7</f>
        <v>1.318155000000008</v>
      </c>
      <c r="W59" s="62">
        <f>+W61*0.9</f>
        <v>31.5</v>
      </c>
      <c r="X59" s="63">
        <f>+X50</f>
        <v>71.255915002715341</v>
      </c>
      <c r="Y59" s="64">
        <f t="shared" ref="Y59:AB59" si="21">+Y50</f>
        <v>86.218415002715318</v>
      </c>
      <c r="Z59" s="64">
        <f t="shared" si="21"/>
        <v>101.1809150027153</v>
      </c>
      <c r="AA59" s="64">
        <f t="shared" si="21"/>
        <v>116.14341500271527</v>
      </c>
      <c r="AB59" s="65">
        <f t="shared" si="21"/>
        <v>131.10591500271531</v>
      </c>
      <c r="AD59" s="62">
        <f>+AD61*0.9</f>
        <v>31.5</v>
      </c>
      <c r="AE59" s="63">
        <f>+AE50</f>
        <v>-69.166844601808833</v>
      </c>
      <c r="AF59" s="64">
        <f t="shared" ref="AF59:AI59" si="22">+AF50</f>
        <v>-54.976840456600947</v>
      </c>
      <c r="AG59" s="64">
        <f t="shared" si="22"/>
        <v>-43.151837002261026</v>
      </c>
      <c r="AH59" s="64">
        <f t="shared" si="22"/>
        <v>-7.6768266392413391</v>
      </c>
      <c r="AI59" s="65">
        <f t="shared" si="22"/>
        <v>15.973180269438503</v>
      </c>
      <c r="AK59" s="62">
        <f>+AK61*0.9</f>
        <v>189.94474719101123</v>
      </c>
      <c r="AL59" s="63">
        <f t="shared" si="20"/>
        <v>-47.744374462699248</v>
      </c>
      <c r="AM59" s="64">
        <f t="shared" si="20"/>
        <v>-36.347689631238573</v>
      </c>
      <c r="AN59" s="64">
        <f t="shared" si="20"/>
        <v>-7.8559775525868787</v>
      </c>
      <c r="AO59" s="64">
        <f t="shared" si="20"/>
        <v>1.6412598069636744</v>
      </c>
      <c r="AP59" s="65">
        <f t="shared" si="20"/>
        <v>20.635734526064809</v>
      </c>
    </row>
    <row r="60" spans="2:42" ht="15.75" thickBot="1" x14ac:dyDescent="0.3">
      <c r="B60" s="66">
        <f>+B61*0.9</f>
        <v>36</v>
      </c>
      <c r="C60" s="67">
        <f>+(C$25*$B60-$G$14-$G$18)+'Wheat Grain'!$G$37+'Wheat Grain'!$G$42+$G$13-$G$65</f>
        <v>55.49212500000003</v>
      </c>
      <c r="D60" s="68">
        <f>+(D$25*$B60-$G$14-$G$18)+'Wheat Grain'!$G$37+'Wheat Grain'!$G$42+$G$13-$G$65</f>
        <v>72.592125000000053</v>
      </c>
      <c r="E60" s="135">
        <f>+(E$25*$B60-$G$14-$G$18)+'Wheat Grain'!$G$37+'Wheat Grain'!$G$42+$G$13-$G$65</f>
        <v>89.692125000000019</v>
      </c>
      <c r="F60" s="68">
        <f>+(F$25*$B60-$G$14-$G$18)+'Wheat Grain'!$G$37+'Wheat Grain'!$G$42+$G$13-$G$65</f>
        <v>106.79212499999998</v>
      </c>
      <c r="G60" s="69">
        <f>+(G$25*$B60-$G$14-$G$18)+'Wheat Grain'!$G$37+'Wheat Grain'!$G$42+$G$13-$G$65</f>
        <v>123.89212500000006</v>
      </c>
      <c r="I60" s="66">
        <f>+I61*0.9</f>
        <v>31.5</v>
      </c>
      <c r="J60" s="67">
        <f>+(J$25*$I60+$N$9-$N$14-$N$18)+'Wheat Dual  ~700Lb'!$G$37+'Wheat Dual  ~700Lb'!$G$42+$N$13-$N$65</f>
        <v>81.296905000000052</v>
      </c>
      <c r="K60" s="68">
        <f>+(K$25*$I60+$N$9-$N$14-$N$18)+'Wheat Dual  ~700Lb'!$G$37+'Wheat Dual  ~700Lb'!$G$42+$N$13-$N$65</f>
        <v>96.259405000000029</v>
      </c>
      <c r="L60" s="135">
        <f>+(L$25*$I60+$N$9-$N$14-$N$18)+'Wheat Dual  ~700Lb'!$G$37+'Wheat Dual  ~700Lb'!$G$42+$N$13-$N$65</f>
        <v>111.22190500000001</v>
      </c>
      <c r="M60" s="68">
        <f>+(M$25*$I60+$N$9-$N$14-$N$18)+'Wheat Dual  ~700Lb'!$G$37+'Wheat Dual  ~700Lb'!$G$42+$N$13-$N$65</f>
        <v>126.18440499999998</v>
      </c>
      <c r="N60" s="69">
        <f>+(N$25*$I60+$N$9-$N$14-$N$18)+'Wheat Dual  ~700Lb'!$G$37+'Wheat Dual  ~700Lb'!$G$42+$N$13-$N$65</f>
        <v>141.14690500000003</v>
      </c>
      <c r="P60" s="66">
        <f>+P61*0.9</f>
        <v>31.5</v>
      </c>
      <c r="Q60" s="67">
        <f>+(Q$25*$P60*$U$7+$U$9-$U$14-$U$18)+'Wheat Dual ~800Lb'!$G$37+'Wheat Dual ~800Lb'!$G$42+$U$13-$U$65*$U$7</f>
        <v>-13.228719999999996</v>
      </c>
      <c r="R60" s="68">
        <f>+(R$25*$P60*$U$7+$U$9-$U$14-$U$18)+'Wheat Dual ~800Lb'!$G$37+'Wheat Dual ~800Lb'!$G$42+$U$13-$U$65*$U$7</f>
        <v>-3.877157499999992</v>
      </c>
      <c r="S60" s="135">
        <f>+(S$25*$P60*$U$7+$U$9-$U$14-$U$18)+'Wheat Dual ~800Lb'!$G$37+'Wheat Dual ~800Lb'!$G$42+$U$13-$U$65*$U$7</f>
        <v>5.474405000000008</v>
      </c>
      <c r="T60" s="68">
        <f>+(T$25*$P60*$U$7+$U$9-$U$14-$U$18)+'Wheat Dual ~800Lb'!$G$37+'Wheat Dual ~800Lb'!$G$42+$U$13-$U$65*$U$7</f>
        <v>14.825967500000008</v>
      </c>
      <c r="U60" s="69">
        <f>+(U$25*$P60*$U$7+$U$9-$U$14-$U$18)+'Wheat Dual ~800Lb'!$G$37+'Wheat Dual ~800Lb'!$G$42+$U$13-$U$65*$U$7</f>
        <v>24.177530000000004</v>
      </c>
      <c r="W60" s="66">
        <f>+W61*0.95</f>
        <v>33.25</v>
      </c>
      <c r="X60" s="67">
        <f t="shared" ref="X60:AB63" si="23">+X51</f>
        <v>86.218415002715318</v>
      </c>
      <c r="Y60" s="68">
        <f t="shared" si="23"/>
        <v>102.01216500271531</v>
      </c>
      <c r="Z60" s="135">
        <f t="shared" si="23"/>
        <v>117.8059150027153</v>
      </c>
      <c r="AA60" s="68">
        <f t="shared" si="23"/>
        <v>133.59966500271528</v>
      </c>
      <c r="AB60" s="69">
        <f t="shared" si="23"/>
        <v>149.39341500271533</v>
      </c>
      <c r="AD60" s="66">
        <f>+AD61*0.95</f>
        <v>33.25</v>
      </c>
      <c r="AE60" s="67">
        <f t="shared" ref="AE60:AI63" si="24">+AE51</f>
        <v>-63.385731801909337</v>
      </c>
      <c r="AF60" s="68">
        <f t="shared" si="24"/>
        <v>-48.407394093078786</v>
      </c>
      <c r="AG60" s="135">
        <f t="shared" si="24"/>
        <v>-35.925446002386643</v>
      </c>
      <c r="AH60" s="68">
        <f t="shared" si="24"/>
        <v>1.5203982696896805</v>
      </c>
      <c r="AI60" s="69">
        <f t="shared" si="24"/>
        <v>26.484294451073936</v>
      </c>
      <c r="AK60" s="66">
        <f>+AK61*0.95</f>
        <v>200.4972331460674</v>
      </c>
      <c r="AL60" s="67">
        <f t="shared" si="20"/>
        <v>-43.101280642474528</v>
      </c>
      <c r="AM60" s="68">
        <f t="shared" si="20"/>
        <v>-31.071446653710488</v>
      </c>
      <c r="AN60" s="135">
        <f t="shared" si="20"/>
        <v>-0.99686168180035395</v>
      </c>
      <c r="AO60" s="68">
        <f t="shared" si="20"/>
        <v>9.0279999755029934</v>
      </c>
      <c r="AP60" s="69">
        <f t="shared" si="20"/>
        <v>29.077723290109745</v>
      </c>
    </row>
    <row r="61" spans="2:42" ht="15.75" thickBot="1" x14ac:dyDescent="0.3">
      <c r="B61" s="81">
        <f>+B52</f>
        <v>40</v>
      </c>
      <c r="C61" s="67">
        <f>+(C$25*$B61-$G$14-$G$18)+'Wheat Grain'!$G$37+'Wheat Grain'!$G$42+$G$13-$G$65</f>
        <v>89.692125000000019</v>
      </c>
      <c r="D61" s="133">
        <f>+(D$25*$B61-$G$14-$G$18)+'Wheat Grain'!$G$37+'Wheat Grain'!$G$42+$G$13-$G$65</f>
        <v>108.69212500000002</v>
      </c>
      <c r="E61" s="137">
        <f>+(E$25*$B61-$G$14-$G$18)+'Wheat Grain'!$G$37+'Wheat Grain'!$G$42+$G$13-$G$65</f>
        <v>127.69212500000002</v>
      </c>
      <c r="F61" s="134">
        <f>+(F$25*$B61-$G$14-$G$18)+'Wheat Grain'!$G$37+'Wheat Grain'!$G$42+$G$13-$G$65</f>
        <v>146.69212500000003</v>
      </c>
      <c r="G61" s="69">
        <f>+(G$25*$B61-$G$14-$G$18)+'Wheat Grain'!$G$37+'Wheat Grain'!$G$42+$G$13-$G$65</f>
        <v>165.69212500000009</v>
      </c>
      <c r="I61" s="81">
        <f>+I52</f>
        <v>35</v>
      </c>
      <c r="J61" s="67">
        <f>+(J$25*$I61+$N$9-$N$14-$N$18)+'Wheat Dual  ~700Lb'!$G$37+'Wheat Dual  ~700Lb'!$G$42+$N$13-$N$65</f>
        <v>111.22190500000001</v>
      </c>
      <c r="K61" s="133">
        <f>+(K$25*$I61+$N$9-$N$14-$N$18)+'Wheat Dual  ~700Lb'!$G$37+'Wheat Dual  ~700Lb'!$G$42+$N$13-$N$65</f>
        <v>127.84690500000001</v>
      </c>
      <c r="L61" s="137">
        <f>+(L$25*$I61+$N$9-$N$14-$N$18)+'Wheat Dual  ~700Lb'!$G$37+'Wheat Dual  ~700Lb'!$G$42+$N$13-$N$65</f>
        <v>144.47190500000002</v>
      </c>
      <c r="M61" s="134">
        <f>+(M$25*$I61+$N$9-$N$14-$N$18)+'Wheat Dual  ~700Lb'!$G$37+'Wheat Dual  ~700Lb'!$G$42+$N$13-$N$65</f>
        <v>161.09690500000002</v>
      </c>
      <c r="N61" s="69">
        <f>+(N$25*$I61+$N$9-$N$14-$N$18)+'Wheat Dual  ~700Lb'!$G$37+'Wheat Dual  ~700Lb'!$G$42+$N$13-$N$65</f>
        <v>177.72190500000008</v>
      </c>
      <c r="P61" s="81">
        <f>+P52</f>
        <v>35</v>
      </c>
      <c r="Q61" s="67">
        <f>+(Q$25*$P61*$U$7+$U$9-$U$14-$U$18)+'Wheat Dual ~800Lb'!$G$37+'Wheat Dual ~800Lb'!$G$42+$U$13-$U$65*$U$7</f>
        <v>5.474405000000008</v>
      </c>
      <c r="R61" s="133">
        <f>+(R$25*$P61*$U$7+$U$9-$U$14-$U$18)+'Wheat Dual ~800Lb'!$G$37+'Wheat Dual ~800Lb'!$G$42+$U$13-$U$65*$U$7</f>
        <v>15.865030000000008</v>
      </c>
      <c r="S61" s="137">
        <f>+(S$25*$P61*$U$7+$U$9-$U$14-$U$18)+'Wheat Dual ~800Lb'!$G$37+'Wheat Dual ~800Lb'!$G$42+$U$13-$U$65*$U$7</f>
        <v>26.255655000000004</v>
      </c>
      <c r="T61" s="134">
        <f>+(T$25*$P61*$U$7+$U$9-$U$14-$U$18)+'Wheat Dual ~800Lb'!$G$37+'Wheat Dual ~800Lb'!$G$42+$U$13-$U$65*$U$7</f>
        <v>36.646280000000004</v>
      </c>
      <c r="U61" s="69">
        <f>+(U$25*$P61*$U$7+$U$9-$U$14-$U$18)+'Wheat Dual ~800Lb'!$G$37+'Wheat Dual ~800Lb'!$G$42+$U$13-$U$65*$U$7</f>
        <v>47.036905000000004</v>
      </c>
      <c r="W61" s="81">
        <f>+W52</f>
        <v>35</v>
      </c>
      <c r="X61" s="67">
        <f t="shared" si="23"/>
        <v>101.1809150027153</v>
      </c>
      <c r="Y61" s="133">
        <f t="shared" si="23"/>
        <v>117.8059150027153</v>
      </c>
      <c r="Z61" s="137">
        <f t="shared" si="23"/>
        <v>134.4309150027153</v>
      </c>
      <c r="AA61" s="134">
        <f t="shared" si="23"/>
        <v>151.0559150027153</v>
      </c>
      <c r="AB61" s="69">
        <f t="shared" si="23"/>
        <v>167.68091500271535</v>
      </c>
      <c r="AD61" s="81">
        <f>+AD52</f>
        <v>35</v>
      </c>
      <c r="AE61" s="67">
        <f t="shared" si="24"/>
        <v>-57.604619002009819</v>
      </c>
      <c r="AF61" s="133">
        <f t="shared" si="24"/>
        <v>-41.83794772955661</v>
      </c>
      <c r="AG61" s="137">
        <f t="shared" si="24"/>
        <v>-28.69905500251226</v>
      </c>
      <c r="AH61" s="134">
        <f t="shared" si="24"/>
        <v>10.717623178620729</v>
      </c>
      <c r="AI61" s="69">
        <f t="shared" si="24"/>
        <v>36.995408632709434</v>
      </c>
      <c r="AK61" s="81">
        <f>+AK52</f>
        <v>211.0497191011236</v>
      </c>
      <c r="AL61" s="67">
        <f t="shared" si="20"/>
        <v>-38.458186822249807</v>
      </c>
      <c r="AM61" s="133">
        <f t="shared" si="20"/>
        <v>-25.795203676182389</v>
      </c>
      <c r="AN61" s="137">
        <f t="shared" si="20"/>
        <v>5.8622541889861708</v>
      </c>
      <c r="AO61" s="134">
        <f t="shared" si="20"/>
        <v>16.414740144042341</v>
      </c>
      <c r="AP61" s="69">
        <f t="shared" si="20"/>
        <v>37.519712054154709</v>
      </c>
    </row>
    <row r="62" spans="2:42" x14ac:dyDescent="0.25">
      <c r="B62" s="66">
        <f>+B61*1.1</f>
        <v>44</v>
      </c>
      <c r="C62" s="67">
        <f>+(C$25*$B62-$G$14-$G$18)+'Wheat Grain'!$G$37+'Wheat Grain'!$G$42+$G$13-$G$65</f>
        <v>123.89212500000006</v>
      </c>
      <c r="D62" s="68">
        <f>+(D$25*$B62-$G$14-$G$18)+'Wheat Grain'!$G$37+'Wheat Grain'!$G$42+$G$13-$G$65</f>
        <v>144.79212500000006</v>
      </c>
      <c r="E62" s="136">
        <f>+(E$25*$B62-$G$14-$G$18)+'Wheat Grain'!$G$37+'Wheat Grain'!$G$42+$G$13-$G$65</f>
        <v>165.69212500000003</v>
      </c>
      <c r="F62" s="68">
        <f>+(F$25*$B62-$G$14-$G$18)+'Wheat Grain'!$G$37+'Wheat Grain'!$G$42+$G$13-$G$65</f>
        <v>186.59212500000001</v>
      </c>
      <c r="G62" s="69">
        <f>+(G$25*$B62-$G$14-$G$18)+'Wheat Grain'!$G$37+'Wheat Grain'!$G$42+$G$13-$G$65</f>
        <v>207.4921250000001</v>
      </c>
      <c r="I62" s="66">
        <f>+I61*1.1</f>
        <v>38.5</v>
      </c>
      <c r="J62" s="67">
        <f>+(J$25*$I62+$N$9-$N$14-$N$18)+'Wheat Dual  ~700Lb'!$G$37+'Wheat Dual  ~700Lb'!$G$42+$N$13-$N$65</f>
        <v>141.14690500000003</v>
      </c>
      <c r="K62" s="68">
        <f>+(K$25*$I62+$N$9-$N$14-$N$18)+'Wheat Dual  ~700Lb'!$G$37+'Wheat Dual  ~700Lb'!$G$42+$N$13-$N$65</f>
        <v>159.43440500000005</v>
      </c>
      <c r="L62" s="136">
        <f>+(L$25*$I62+$N$9-$N$14-$N$18)+'Wheat Dual  ~700Lb'!$G$37+'Wheat Dual  ~700Lb'!$G$42+$N$13-$N$65</f>
        <v>177.72190500000002</v>
      </c>
      <c r="M62" s="68">
        <f>+(M$25*$I62+$N$9-$N$14-$N$18)+'Wheat Dual  ~700Lb'!$G$37+'Wheat Dual  ~700Lb'!$G$42+$N$13-$N$65</f>
        <v>196.00940499999996</v>
      </c>
      <c r="N62" s="69">
        <f>+(N$25*$I62+$N$9-$N$14-$N$18)+'Wheat Dual  ~700Lb'!$G$37+'Wheat Dual  ~700Lb'!$G$42+$N$13-$N$65</f>
        <v>214.29690500000004</v>
      </c>
      <c r="P62" s="66">
        <f>+P61*1.1</f>
        <v>38.5</v>
      </c>
      <c r="Q62" s="67">
        <f>+(Q$25*$P62*$U$7+$U$9-$U$14-$U$18)+'Wheat Dual ~800Lb'!$G$37+'Wheat Dual ~800Lb'!$G$42+$U$13-$U$65*$U$7</f>
        <v>24.177530000000004</v>
      </c>
      <c r="R62" s="68">
        <f>+(R$25*$P62*$U$7+$U$9-$U$14-$U$18)+'Wheat Dual ~800Lb'!$G$37+'Wheat Dual ~800Lb'!$G$42+$U$13-$U$65*$U$7</f>
        <v>35.607217500000004</v>
      </c>
      <c r="S62" s="136">
        <f>+(S$25*$P62*$U$7+$U$9-$U$14-$U$18)+'Wheat Dual ~800Lb'!$G$37+'Wheat Dual ~800Lb'!$G$42+$U$13-$U$65*$U$7</f>
        <v>47.036905000000004</v>
      </c>
      <c r="T62" s="68">
        <f>+(T$25*$P62*$U$7+$U$9-$U$14-$U$18)+'Wheat Dual ~800Lb'!$G$37+'Wheat Dual ~800Lb'!$G$42+$U$13-$U$65*$U$7</f>
        <v>58.466592500000004</v>
      </c>
      <c r="U62" s="69">
        <f>+(U$25*$P62*$U$7+$U$9-$U$14-$U$18)+'Wheat Dual ~800Lb'!$G$37+'Wheat Dual ~800Lb'!$G$42+$U$13-$U$65*$U$7</f>
        <v>69.896280000000004</v>
      </c>
      <c r="W62" s="66">
        <f>+W61*1.05</f>
        <v>36.75</v>
      </c>
      <c r="X62" s="67">
        <f t="shared" si="23"/>
        <v>116.14341500271533</v>
      </c>
      <c r="Y62" s="68">
        <f t="shared" si="23"/>
        <v>133.59966500271528</v>
      </c>
      <c r="Z62" s="136">
        <f t="shared" si="23"/>
        <v>151.0559150027153</v>
      </c>
      <c r="AA62" s="68">
        <f t="shared" si="23"/>
        <v>168.51216500271531</v>
      </c>
      <c r="AB62" s="69">
        <f t="shared" si="23"/>
        <v>185.96841500271529</v>
      </c>
      <c r="AD62" s="66">
        <f>+AD61*1.05</f>
        <v>36.75</v>
      </c>
      <c r="AE62" s="67">
        <f t="shared" si="24"/>
        <v>-51.823506202110288</v>
      </c>
      <c r="AF62" s="68">
        <f t="shared" si="24"/>
        <v>-35.268501366034421</v>
      </c>
      <c r="AG62" s="136">
        <f t="shared" si="24"/>
        <v>-21.472664002637856</v>
      </c>
      <c r="AH62" s="68">
        <f t="shared" si="24"/>
        <v>19.914848087551803</v>
      </c>
      <c r="AI62" s="69">
        <f t="shared" si="24"/>
        <v>47.506522814344926</v>
      </c>
      <c r="AK62" s="66">
        <f>+AK61*1.05</f>
        <v>221.6022050561798</v>
      </c>
      <c r="AL62" s="67">
        <f t="shared" si="20"/>
        <v>-33.815093002025073</v>
      </c>
      <c r="AM62" s="68">
        <f t="shared" si="20"/>
        <v>-20.51896069865429</v>
      </c>
      <c r="AN62" s="136">
        <f t="shared" si="20"/>
        <v>12.721370059772696</v>
      </c>
      <c r="AO62" s="68">
        <f t="shared" si="20"/>
        <v>23.80148031258166</v>
      </c>
      <c r="AP62" s="69">
        <f t="shared" si="20"/>
        <v>45.961700818199674</v>
      </c>
    </row>
    <row r="63" spans="2:42" ht="15.75" thickBot="1" x14ac:dyDescent="0.3">
      <c r="B63" s="70">
        <f>+B61*1.2</f>
        <v>48</v>
      </c>
      <c r="C63" s="71">
        <f>+(C$25*$B63-$G$14-$G$18)+'Wheat Grain'!$G$37+'Wheat Grain'!$G$42+$G$13-$G$65</f>
        <v>158.09212500000007</v>
      </c>
      <c r="D63" s="72">
        <f>+(D$25*$B63-$G$14-$G$18)+'Wheat Grain'!$G$37+'Wheat Grain'!$G$42+$G$13-$G$65</f>
        <v>180.89212500000008</v>
      </c>
      <c r="E63" s="72">
        <f>+(E$25*$B63-$G$14-$G$18)+'Wheat Grain'!$G$37+'Wheat Grain'!$G$42+$G$13-$G$65</f>
        <v>203.69212500000003</v>
      </c>
      <c r="F63" s="72">
        <f>+(F$25*$B63-$G$14-$G$18)+'Wheat Grain'!$G$37+'Wheat Grain'!$G$42+$G$13-$G$65</f>
        <v>226.49212499999999</v>
      </c>
      <c r="G63" s="73">
        <f>+(G$25*$B63-$G$14-$G$18)+'Wheat Grain'!$G$37+'Wheat Grain'!$G$42+$G$13-$G$65</f>
        <v>249.29212500000006</v>
      </c>
      <c r="I63" s="70">
        <f>+I61*1.2</f>
        <v>42</v>
      </c>
      <c r="J63" s="71">
        <f>+(J$25*$I63+$N$9-$N$14-$N$18)+'Wheat Dual  ~700Lb'!$G$37+'Wheat Dual  ~700Lb'!$G$42+$N$13-$N$65</f>
        <v>171.07190500000004</v>
      </c>
      <c r="K63" s="72">
        <f>+(K$25*$I63+$N$9-$N$14-$N$18)+'Wheat Dual  ~700Lb'!$G$37+'Wheat Dual  ~700Lb'!$G$42+$N$13-$N$65</f>
        <v>191.021905</v>
      </c>
      <c r="L63" s="72">
        <f>+(L$25*$I63+$N$9-$N$14-$N$18)+'Wheat Dual  ~700Lb'!$G$37+'Wheat Dual  ~700Lb'!$G$42+$N$13-$N$65</f>
        <v>210.97190499999999</v>
      </c>
      <c r="M63" s="72">
        <f>+(M$25*$I63+$N$9-$N$14-$N$18)+'Wheat Dual  ~700Lb'!$G$37+'Wheat Dual  ~700Lb'!$G$42+$N$13-$N$65</f>
        <v>230.92190499999998</v>
      </c>
      <c r="N63" s="73">
        <f>+(N$25*$I63+$N$9-$N$14-$N$18)+'Wheat Dual  ~700Lb'!$G$37+'Wheat Dual  ~700Lb'!$G$42+$N$13-$N$65</f>
        <v>250.87190500000008</v>
      </c>
      <c r="P63" s="70">
        <f>+P61*1.2</f>
        <v>42</v>
      </c>
      <c r="Q63" s="71">
        <f>+(Q$25*$P63*$U$7+$U$9-$U$14-$U$18)+'Wheat Dual ~800Lb'!$G$37+'Wheat Dual ~800Lb'!$G$42+$U$13-$U$65*$U$7</f>
        <v>42.880655000000004</v>
      </c>
      <c r="R63" s="72">
        <f>+(R$25*$P63*$U$7+$U$9-$U$14-$U$18)+'Wheat Dual ~800Lb'!$G$37+'Wheat Dual ~800Lb'!$G$42+$U$13-$U$65*$U$7</f>
        <v>55.349405000000004</v>
      </c>
      <c r="S63" s="72">
        <f>+(S$25*$P63*$U$7+$U$9-$U$14-$U$18)+'Wheat Dual ~800Lb'!$G$37+'Wheat Dual ~800Lb'!$G$42+$U$13-$U$65*$U$7</f>
        <v>67.818155000000004</v>
      </c>
      <c r="T63" s="72">
        <f>+(T$25*$P63*$U$7+$U$9-$U$14-$U$18)+'Wheat Dual ~800Lb'!$G$37+'Wheat Dual ~800Lb'!$G$42+$U$13-$U$65*$U$7</f>
        <v>80.286905000000004</v>
      </c>
      <c r="U63" s="73">
        <f>+(U$25*$P63*$U$7+$U$9-$U$14-$U$18)+'Wheat Dual ~800Lb'!$G$37+'Wheat Dual ~800Lb'!$G$42+$U$13-$U$65*$U$7</f>
        <v>92.755655000000004</v>
      </c>
      <c r="W63" s="70">
        <f>+W62*1.1</f>
        <v>40.425000000000004</v>
      </c>
      <c r="X63" s="71">
        <f t="shared" si="23"/>
        <v>147.56466500271537</v>
      </c>
      <c r="Y63" s="72">
        <f t="shared" si="23"/>
        <v>166.76654000271535</v>
      </c>
      <c r="Z63" s="72">
        <f t="shared" si="23"/>
        <v>185.96841500271529</v>
      </c>
      <c r="AA63" s="72">
        <f t="shared" si="23"/>
        <v>205.17029000271532</v>
      </c>
      <c r="AB63" s="73">
        <f t="shared" si="23"/>
        <v>224.37216500271535</v>
      </c>
      <c r="AD63" s="70">
        <f>+AD62*1.1</f>
        <v>40.425000000000004</v>
      </c>
      <c r="AE63" s="71">
        <f t="shared" si="24"/>
        <v>-39.683169322321298</v>
      </c>
      <c r="AF63" s="72">
        <f t="shared" si="24"/>
        <v>-21.472664002637856</v>
      </c>
      <c r="AG63" s="72">
        <f t="shared" si="24"/>
        <v>-6.2972429029016137</v>
      </c>
      <c r="AH63" s="72">
        <f t="shared" si="24"/>
        <v>39.229020396307</v>
      </c>
      <c r="AI63" s="73">
        <f t="shared" si="24"/>
        <v>69.579862595779446</v>
      </c>
      <c r="AK63" s="70">
        <f>+AK62*1.1</f>
        <v>243.76242556179778</v>
      </c>
      <c r="AL63" s="71">
        <f t="shared" si="20"/>
        <v>-24.064595979553168</v>
      </c>
      <c r="AM63" s="72">
        <f t="shared" si="20"/>
        <v>-9.43885044584529</v>
      </c>
      <c r="AN63" s="72">
        <f t="shared" si="20"/>
        <v>27.12551338842438</v>
      </c>
      <c r="AO63" s="72">
        <f t="shared" si="20"/>
        <v>39.313634666514261</v>
      </c>
      <c r="AP63" s="73">
        <f t="shared" si="20"/>
        <v>63.689877222694051</v>
      </c>
    </row>
    <row r="64" spans="2:42" ht="15.75" thickTop="1" x14ac:dyDescent="0.25"/>
    <row r="65" spans="2:42" x14ac:dyDescent="0.25">
      <c r="B65" s="1" t="s">
        <v>115</v>
      </c>
      <c r="G65" s="93">
        <v>16.2</v>
      </c>
      <c r="I65" s="1" t="s">
        <v>115</v>
      </c>
      <c r="N65" s="93">
        <v>16.2</v>
      </c>
      <c r="P65" s="1" t="s">
        <v>115</v>
      </c>
      <c r="U65" s="93">
        <v>16.2</v>
      </c>
      <c r="W65" s="1" t="s">
        <v>115</v>
      </c>
      <c r="AB65" s="93">
        <v>16.2</v>
      </c>
      <c r="AD65" s="1" t="s">
        <v>115</v>
      </c>
      <c r="AI65" s="93">
        <v>16.2</v>
      </c>
      <c r="AK65" s="1" t="s">
        <v>115</v>
      </c>
      <c r="AP65" s="93">
        <v>16.2</v>
      </c>
    </row>
  </sheetData>
  <mergeCells count="50">
    <mergeCell ref="AK32:AP32"/>
    <mergeCell ref="AK2:AP2"/>
    <mergeCell ref="AL57:AP57"/>
    <mergeCell ref="AK56:AP56"/>
    <mergeCell ref="AL48:AP48"/>
    <mergeCell ref="AL33:AP33"/>
    <mergeCell ref="AK47:AP47"/>
    <mergeCell ref="AD32:AI32"/>
    <mergeCell ref="J33:N33"/>
    <mergeCell ref="Q33:U33"/>
    <mergeCell ref="X33:AB33"/>
    <mergeCell ref="AE33:AI33"/>
    <mergeCell ref="AD47:AI47"/>
    <mergeCell ref="B2:G2"/>
    <mergeCell ref="I2:N2"/>
    <mergeCell ref="P2:U2"/>
    <mergeCell ref="W2:AB2"/>
    <mergeCell ref="AD2:AI2"/>
    <mergeCell ref="B23:G23"/>
    <mergeCell ref="I23:N23"/>
    <mergeCell ref="P23:U23"/>
    <mergeCell ref="W23:AB23"/>
    <mergeCell ref="AD23:AI23"/>
    <mergeCell ref="J24:N24"/>
    <mergeCell ref="Q24:U24"/>
    <mergeCell ref="X24:AB24"/>
    <mergeCell ref="AE24:AI24"/>
    <mergeCell ref="I32:N32"/>
    <mergeCell ref="C24:G24"/>
    <mergeCell ref="B47:G47"/>
    <mergeCell ref="I47:N47"/>
    <mergeCell ref="P47:U47"/>
    <mergeCell ref="W47:AB47"/>
    <mergeCell ref="P32:U32"/>
    <mergeCell ref="W32:AB32"/>
    <mergeCell ref="B56:G56"/>
    <mergeCell ref="I56:N56"/>
    <mergeCell ref="P56:U56"/>
    <mergeCell ref="W56:AB56"/>
    <mergeCell ref="AD56:AI56"/>
    <mergeCell ref="C48:G48"/>
    <mergeCell ref="J48:N48"/>
    <mergeCell ref="Q48:U48"/>
    <mergeCell ref="X48:AB48"/>
    <mergeCell ref="AE48:AI48"/>
    <mergeCell ref="C57:G57"/>
    <mergeCell ref="J57:N57"/>
    <mergeCell ref="Q57:U57"/>
    <mergeCell ref="X57:AB57"/>
    <mergeCell ref="AE57:AI57"/>
  </mergeCells>
  <conditionalFormatting sqref="C26:G45">
    <cfRule type="colorScale" priority="156">
      <colorScale>
        <cfvo type="min"/>
        <cfvo type="max"/>
        <color theme="0" tint="-4.9989318521683403E-2"/>
        <color theme="0" tint="-0.34998626667073579"/>
      </colorScale>
    </cfRule>
    <cfRule type="colorScale" priority="157">
      <colorScale>
        <cfvo type="min"/>
        <cfvo type="max"/>
        <color rgb="FFFCFCFF"/>
        <color rgb="FF63BE7B"/>
      </colorScale>
    </cfRule>
  </conditionalFormatting>
  <conditionalFormatting sqref="C50:G55">
    <cfRule type="colorScale" priority="158">
      <colorScale>
        <cfvo type="min"/>
        <cfvo type="max"/>
        <color theme="0" tint="-4.9989318521683403E-2"/>
        <color theme="0" tint="-0.34998626667073579"/>
      </colorScale>
    </cfRule>
    <cfRule type="colorScale" priority="159">
      <colorScale>
        <cfvo type="min"/>
        <cfvo type="max"/>
        <color rgb="FFFCFCFF"/>
        <color rgb="FF63BE7B"/>
      </colorScale>
    </cfRule>
  </conditionalFormatting>
  <conditionalFormatting sqref="C59:G63">
    <cfRule type="colorScale" priority="154">
      <colorScale>
        <cfvo type="min"/>
        <cfvo type="max"/>
        <color theme="0" tint="-4.9989318521683403E-2"/>
        <color theme="0" tint="-0.34998626667073579"/>
      </colorScale>
    </cfRule>
    <cfRule type="colorScale" priority="155">
      <colorScale>
        <cfvo type="min"/>
        <cfvo type="max"/>
        <color rgb="FFFCFCFF"/>
        <color rgb="FF63BE7B"/>
      </colorScale>
    </cfRule>
  </conditionalFormatting>
  <conditionalFormatting sqref="J26:N31 J40:N45">
    <cfRule type="colorScale" priority="150">
      <colorScale>
        <cfvo type="min"/>
        <cfvo type="max"/>
        <color theme="0" tint="-4.9989318521683403E-2"/>
        <color theme="0" tint="-0.34998626667073579"/>
      </colorScale>
    </cfRule>
    <cfRule type="colorScale" priority="151">
      <colorScale>
        <cfvo type="min"/>
        <cfvo type="max"/>
        <color rgb="FFFCFCFF"/>
        <color rgb="FF63BE7B"/>
      </colorScale>
    </cfRule>
  </conditionalFormatting>
  <conditionalFormatting sqref="J50:N55">
    <cfRule type="colorScale" priority="152">
      <colorScale>
        <cfvo type="min"/>
        <cfvo type="max"/>
        <color theme="0" tint="-4.9989318521683403E-2"/>
        <color theme="0" tint="-0.34998626667073579"/>
      </colorScale>
    </cfRule>
    <cfRule type="colorScale" priority="153">
      <colorScale>
        <cfvo type="min"/>
        <cfvo type="max"/>
        <color rgb="FFFCFCFF"/>
        <color rgb="FF63BE7B"/>
      </colorScale>
    </cfRule>
  </conditionalFormatting>
  <conditionalFormatting sqref="J59:N63">
    <cfRule type="colorScale" priority="148">
      <colorScale>
        <cfvo type="min"/>
        <cfvo type="max"/>
        <color theme="0" tint="-4.9989318521683403E-2"/>
        <color theme="0" tint="-0.34998626667073579"/>
      </colorScale>
    </cfRule>
    <cfRule type="colorScale" priority="149">
      <colorScale>
        <cfvo type="min"/>
        <cfvo type="max"/>
        <color rgb="FFFCFCFF"/>
        <color rgb="FF63BE7B"/>
      </colorScale>
    </cfRule>
  </conditionalFormatting>
  <conditionalFormatting sqref="X55:AB55">
    <cfRule type="colorScale" priority="146">
      <colorScale>
        <cfvo type="min"/>
        <cfvo type="max"/>
        <color theme="0" tint="-4.9989318521683403E-2"/>
        <color theme="0" tint="-0.34998626667073579"/>
      </colorScale>
    </cfRule>
    <cfRule type="colorScale" priority="147">
      <colorScale>
        <cfvo type="min"/>
        <cfvo type="max"/>
        <color rgb="FFFCFCFF"/>
        <color rgb="FF63BE7B"/>
      </colorScale>
    </cfRule>
  </conditionalFormatting>
  <conditionalFormatting sqref="X50:AB54">
    <cfRule type="colorScale" priority="144">
      <colorScale>
        <cfvo type="min"/>
        <cfvo type="max"/>
        <color theme="0" tint="-4.9989318521683403E-2"/>
        <color theme="0" tint="-0.34998626667073579"/>
      </colorScale>
    </cfRule>
    <cfRule type="colorScale" priority="145">
      <colorScale>
        <cfvo type="min"/>
        <cfvo type="max"/>
        <color rgb="FFFCFCFF"/>
        <color rgb="FF63BE7B"/>
      </colorScale>
    </cfRule>
  </conditionalFormatting>
  <conditionalFormatting sqref="X59:AB63">
    <cfRule type="colorScale" priority="142">
      <colorScale>
        <cfvo type="min"/>
        <cfvo type="max"/>
        <color theme="0" tint="-4.9989318521683403E-2"/>
        <color theme="0" tint="-0.34998626667073579"/>
      </colorScale>
    </cfRule>
    <cfRule type="colorScale" priority="143">
      <colorScale>
        <cfvo type="min"/>
        <cfvo type="max"/>
        <color rgb="FFFCFCFF"/>
        <color rgb="FF63BE7B"/>
      </colorScale>
    </cfRule>
  </conditionalFormatting>
  <conditionalFormatting sqref="C26:G45 J26:N31 Q26:U31 Q40:U45 J40:N45">
    <cfRule type="colorScale" priority="1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50:AB54 C50:G54 J50:N54 Q50:U54">
    <cfRule type="colorScale" priority="1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59:AB63 C59:G63 J59:N63 Q59:U63">
    <cfRule type="colorScale" priority="1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50:AB54">
    <cfRule type="colorScale" priority="138">
      <colorScale>
        <cfvo type="min"/>
        <cfvo type="max"/>
        <color theme="0" tint="-4.9989318521683403E-2"/>
        <color theme="0" tint="-0.34998626667073579"/>
      </colorScale>
    </cfRule>
    <cfRule type="colorScale" priority="139">
      <colorScale>
        <cfvo type="min"/>
        <cfvo type="max"/>
        <color rgb="FFFCFCFF"/>
        <color rgb="FF63BE7B"/>
      </colorScale>
    </cfRule>
  </conditionalFormatting>
  <conditionalFormatting sqref="X50:AB54">
    <cfRule type="colorScale" priority="136">
      <colorScale>
        <cfvo type="min"/>
        <cfvo type="max"/>
        <color theme="0" tint="-4.9989318521683403E-2"/>
        <color theme="0" tint="-0.34998626667073579"/>
      </colorScale>
    </cfRule>
    <cfRule type="colorScale" priority="137">
      <colorScale>
        <cfvo type="min"/>
        <cfvo type="max"/>
        <color rgb="FFFCFCFF"/>
        <color rgb="FF63BE7B"/>
      </colorScale>
    </cfRule>
  </conditionalFormatting>
  <conditionalFormatting sqref="AE55:AI55">
    <cfRule type="colorScale" priority="133">
      <colorScale>
        <cfvo type="min"/>
        <cfvo type="max"/>
        <color theme="0" tint="-4.9989318521683403E-2"/>
        <color theme="0" tint="-0.34998626667073579"/>
      </colorScale>
    </cfRule>
    <cfRule type="colorScale" priority="134">
      <colorScale>
        <cfvo type="min"/>
        <cfvo type="max"/>
        <color rgb="FFFCFCFF"/>
        <color rgb="FF63BE7B"/>
      </colorScale>
    </cfRule>
  </conditionalFormatting>
  <conditionalFormatting sqref="AE59:AI63">
    <cfRule type="colorScale" priority="131">
      <colorScale>
        <cfvo type="min"/>
        <cfvo type="max"/>
        <color theme="0" tint="-4.9989318521683403E-2"/>
        <color theme="0" tint="-0.34998626667073579"/>
      </colorScale>
    </cfRule>
    <cfRule type="colorScale" priority="132">
      <colorScale>
        <cfvo type="min"/>
        <cfvo type="max"/>
        <color rgb="FFFCFCFF"/>
        <color rgb="FF63BE7B"/>
      </colorScale>
    </cfRule>
  </conditionalFormatting>
  <conditionalFormatting sqref="AE59:AI63">
    <cfRule type="colorScale" priority="1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50:AI54">
    <cfRule type="colorScale" priority="128">
      <colorScale>
        <cfvo type="min"/>
        <cfvo type="max"/>
        <color theme="0" tint="-4.9989318521683403E-2"/>
        <color theme="0" tint="-0.34998626667073579"/>
      </colorScale>
    </cfRule>
    <cfRule type="colorScale" priority="129">
      <colorScale>
        <cfvo type="min"/>
        <cfvo type="max"/>
        <color rgb="FFFCFCFF"/>
        <color rgb="FF63BE7B"/>
      </colorScale>
    </cfRule>
  </conditionalFormatting>
  <conditionalFormatting sqref="AE50:AI54">
    <cfRule type="colorScale" priority="1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50:AI54">
    <cfRule type="colorScale" priority="1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59:AI63">
    <cfRule type="colorScale" priority="1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50:AB54 C50:G54 J50:N54 Q50:U54 AE50:AI54">
    <cfRule type="colorScale" priority="1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6:G45">
    <cfRule type="colorScale" priority="1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6:G45">
    <cfRule type="colorScale" priority="1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26:U31 Q40:U45">
    <cfRule type="colorScale" priority="160">
      <colorScale>
        <cfvo type="min"/>
        <cfvo type="max"/>
        <color theme="0" tint="-4.9989318521683403E-2"/>
        <color theme="0" tint="-0.34998626667073579"/>
      </colorScale>
    </cfRule>
    <cfRule type="colorScale" priority="161">
      <colorScale>
        <cfvo type="min"/>
        <cfvo type="max"/>
        <color rgb="FFFCFCFF"/>
        <color rgb="FF63BE7B"/>
      </colorScale>
    </cfRule>
  </conditionalFormatting>
  <conditionalFormatting sqref="Q50:U55">
    <cfRule type="colorScale" priority="162">
      <colorScale>
        <cfvo type="min"/>
        <cfvo type="max"/>
        <color theme="0" tint="-4.9989318521683403E-2"/>
        <color theme="0" tint="-0.34998626667073579"/>
      </colorScale>
    </cfRule>
    <cfRule type="colorScale" priority="163">
      <colorScale>
        <cfvo type="min"/>
        <cfvo type="max"/>
        <color rgb="FFFCFCFF"/>
        <color rgb="FF63BE7B"/>
      </colorScale>
    </cfRule>
  </conditionalFormatting>
  <conditionalFormatting sqref="Q59:U63">
    <cfRule type="colorScale" priority="164">
      <colorScale>
        <cfvo type="min"/>
        <cfvo type="max"/>
        <color theme="0" tint="-4.9989318521683403E-2"/>
        <color theme="0" tint="-0.34998626667073579"/>
      </colorScale>
    </cfRule>
    <cfRule type="colorScale" priority="165">
      <colorScale>
        <cfvo type="min"/>
        <cfvo type="max"/>
        <color rgb="FFFCFCFF"/>
        <color rgb="FF63BE7B"/>
      </colorScale>
    </cfRule>
  </conditionalFormatting>
  <conditionalFormatting sqref="X26:AB31 X40:AB45">
    <cfRule type="colorScale" priority="1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6:AB31 X40:AB45">
    <cfRule type="colorScale" priority="1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6:AB31 X40:AB45">
    <cfRule type="colorScale" priority="120">
      <colorScale>
        <cfvo type="min"/>
        <cfvo type="max"/>
        <color theme="0" tint="-4.9989318521683403E-2"/>
        <color theme="0" tint="-0.34998626667073579"/>
      </colorScale>
    </cfRule>
    <cfRule type="colorScale" priority="121">
      <colorScale>
        <cfvo type="min"/>
        <cfvo type="max"/>
        <color rgb="FFFCFCFF"/>
        <color rgb="FF63BE7B"/>
      </colorScale>
    </cfRule>
  </conditionalFormatting>
  <conditionalFormatting sqref="AE26:AI31 AE40:AI45">
    <cfRule type="colorScale" priority="1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26:AI31 AE40:AI45">
    <cfRule type="colorScale" priority="1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26:AI31 AE40:AI45">
    <cfRule type="colorScale" priority="116">
      <colorScale>
        <cfvo type="min"/>
        <cfvo type="max"/>
        <color theme="0" tint="-4.9989318521683403E-2"/>
        <color theme="0" tint="-0.34998626667073579"/>
      </colorScale>
    </cfRule>
    <cfRule type="colorScale" priority="117">
      <colorScale>
        <cfvo type="min"/>
        <cfvo type="max"/>
        <color rgb="FFFCFCFF"/>
        <color rgb="FF63BE7B"/>
      </colorScale>
    </cfRule>
  </conditionalFormatting>
  <conditionalFormatting sqref="J26:N31 Q26:U31 X26:AB31 AE26:AI31 AE40:AI45 X40:AB45 Q40:U45 J40:N45">
    <cfRule type="colorScale" priority="1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35:N39">
    <cfRule type="colorScale" priority="33">
      <colorScale>
        <cfvo type="min"/>
        <cfvo type="max"/>
        <color theme="0" tint="-4.9989318521683403E-2"/>
        <color theme="0" tint="-0.34998626667073579"/>
      </colorScale>
    </cfRule>
    <cfRule type="colorScale" priority="34">
      <colorScale>
        <cfvo type="min"/>
        <cfvo type="max"/>
        <color rgb="FFFCFCFF"/>
        <color rgb="FF63BE7B"/>
      </colorScale>
    </cfRule>
  </conditionalFormatting>
  <conditionalFormatting sqref="J35:N39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35:N39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35:U39">
    <cfRule type="colorScale" priority="29">
      <colorScale>
        <cfvo type="min"/>
        <cfvo type="max"/>
        <color theme="0" tint="-4.9989318521683403E-2"/>
        <color theme="0" tint="-0.34998626667073579"/>
      </colorScale>
    </cfRule>
    <cfRule type="colorScale" priority="30">
      <colorScale>
        <cfvo type="min"/>
        <cfvo type="max"/>
        <color rgb="FFFCFCFF"/>
        <color rgb="FF63BE7B"/>
      </colorScale>
    </cfRule>
  </conditionalFormatting>
  <conditionalFormatting sqref="Q35:U39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35:U39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35:AB39">
    <cfRule type="colorScale" priority="25">
      <colorScale>
        <cfvo type="min"/>
        <cfvo type="max"/>
        <color theme="0" tint="-4.9989318521683403E-2"/>
        <color theme="0" tint="-0.34998626667073579"/>
      </colorScale>
    </cfRule>
    <cfRule type="colorScale" priority="26">
      <colorScale>
        <cfvo type="min"/>
        <cfvo type="max"/>
        <color rgb="FFFCFCFF"/>
        <color rgb="FF63BE7B"/>
      </colorScale>
    </cfRule>
  </conditionalFormatting>
  <conditionalFormatting sqref="X35:AB39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35:AB39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35:AI39">
    <cfRule type="colorScale" priority="21">
      <colorScale>
        <cfvo type="min"/>
        <cfvo type="max"/>
        <color theme="0" tint="-4.9989318521683403E-2"/>
        <color theme="0" tint="-0.34998626667073579"/>
      </colorScale>
    </cfRule>
    <cfRule type="colorScale" priority="22">
      <colorScale>
        <cfvo type="min"/>
        <cfvo type="max"/>
        <color rgb="FFFCFCFF"/>
        <color rgb="FF63BE7B"/>
      </colorScale>
    </cfRule>
  </conditionalFormatting>
  <conditionalFormatting sqref="AE35:AI39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35:AI39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35:N39 Q35:U39 X35:AB39 AE35:AI39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L55:AP55">
    <cfRule type="colorScale" priority="16">
      <colorScale>
        <cfvo type="min"/>
        <cfvo type="max"/>
        <color theme="0" tint="-4.9989318521683403E-2"/>
        <color theme="0" tint="-0.34998626667073579"/>
      </colorScale>
    </cfRule>
    <cfRule type="colorScale" priority="17">
      <colorScale>
        <cfvo type="min"/>
        <cfvo type="max"/>
        <color rgb="FFFCFCFF"/>
        <color rgb="FF63BE7B"/>
      </colorScale>
    </cfRule>
  </conditionalFormatting>
  <conditionalFormatting sqref="AL35:AP39">
    <cfRule type="colorScale" priority="14">
      <colorScale>
        <cfvo type="min"/>
        <cfvo type="max"/>
        <color theme="0" tint="-4.9989318521683403E-2"/>
        <color theme="0" tint="-0.34998626667073579"/>
      </colorScale>
    </cfRule>
    <cfRule type="colorScale" priority="15">
      <colorScale>
        <cfvo type="min"/>
        <cfvo type="max"/>
        <color rgb="FFFCFCFF"/>
        <color rgb="FF63BE7B"/>
      </colorScale>
    </cfRule>
  </conditionalFormatting>
  <conditionalFormatting sqref="AL50:AP54">
    <cfRule type="colorScale" priority="12">
      <colorScale>
        <cfvo type="min"/>
        <cfvo type="max"/>
        <color theme="0" tint="-4.9989318521683403E-2"/>
        <color theme="0" tint="-0.34998626667073579"/>
      </colorScale>
    </cfRule>
    <cfRule type="colorScale" priority="13">
      <colorScale>
        <cfvo type="min"/>
        <cfvo type="max"/>
        <color rgb="FFFCFCFF"/>
        <color rgb="FF63BE7B"/>
      </colorScale>
    </cfRule>
  </conditionalFormatting>
  <conditionalFormatting sqref="AL59:AP63">
    <cfRule type="colorScale" priority="10">
      <colorScale>
        <cfvo type="min"/>
        <cfvo type="max"/>
        <color theme="0" tint="-4.9989318521683403E-2"/>
        <color theme="0" tint="-0.34998626667073579"/>
      </colorScale>
    </cfRule>
    <cfRule type="colorScale" priority="11">
      <colorScale>
        <cfvo type="min"/>
        <cfvo type="max"/>
        <color rgb="FFFCFCFF"/>
        <color rgb="FF63BE7B"/>
      </colorScale>
    </cfRule>
  </conditionalFormatting>
  <conditionalFormatting sqref="AL35:AP39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L50:AP54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L59:AP63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L50:AP54">
    <cfRule type="colorScale" priority="6">
      <colorScale>
        <cfvo type="min"/>
        <cfvo type="max"/>
        <color theme="0" tint="-4.9989318521683403E-2"/>
        <color theme="0" tint="-0.34998626667073579"/>
      </colorScale>
    </cfRule>
    <cfRule type="colorScale" priority="7">
      <colorScale>
        <cfvo type="min"/>
        <cfvo type="max"/>
        <color rgb="FFFCFCFF"/>
        <color rgb="FF63BE7B"/>
      </colorScale>
    </cfRule>
  </conditionalFormatting>
  <conditionalFormatting sqref="AL50:AP54">
    <cfRule type="colorScale" priority="4">
      <colorScale>
        <cfvo type="min"/>
        <cfvo type="max"/>
        <color theme="0" tint="-4.9989318521683403E-2"/>
        <color theme="0" tint="-0.34998626667073579"/>
      </colorScale>
    </cfRule>
    <cfRule type="colorScale" priority="5">
      <colorScale>
        <cfvo type="min"/>
        <cfvo type="max"/>
        <color rgb="FFFCFCFF"/>
        <color rgb="FF63BE7B"/>
      </colorScale>
    </cfRule>
  </conditionalFormatting>
  <conditionalFormatting sqref="AL50:AP54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L35:AP39 AE35:AI39 X35:AB39 Q35:U39 J35:N3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3067F-39D7-416B-B32A-8CB61D5BE12F}">
  <dimension ref="B1:AP51"/>
  <sheetViews>
    <sheetView workbookViewId="0">
      <selection activeCell="AD1" sqref="AD1:AI1048576"/>
    </sheetView>
  </sheetViews>
  <sheetFormatPr defaultColWidth="8.85546875" defaultRowHeight="15" x14ac:dyDescent="0.25"/>
  <cols>
    <col min="1" max="1" width="3.7109375" style="1" customWidth="1"/>
    <col min="2" max="6" width="4.140625" style="1" customWidth="1"/>
    <col min="7" max="7" width="7.28515625" style="1" customWidth="1"/>
    <col min="8" max="8" width="2.42578125" style="1" customWidth="1"/>
    <col min="9" max="13" width="4.140625" style="1" customWidth="1"/>
    <col min="14" max="14" width="6.85546875" style="1" customWidth="1"/>
    <col min="15" max="15" width="2.5703125" style="1" customWidth="1"/>
    <col min="16" max="20" width="4.140625" style="1" customWidth="1"/>
    <col min="21" max="21" width="6.42578125" style="1" customWidth="1"/>
    <col min="22" max="22" width="1.85546875" style="1" customWidth="1"/>
    <col min="23" max="27" width="4.140625" style="1" customWidth="1"/>
    <col min="28" max="28" width="7" style="1" customWidth="1"/>
    <col min="29" max="29" width="2.42578125" style="1" customWidth="1"/>
    <col min="36" max="36" width="2.85546875" style="1" customWidth="1"/>
    <col min="37" max="41" width="4.140625" style="1" customWidth="1"/>
    <col min="42" max="42" width="5.140625" style="1" customWidth="1"/>
    <col min="43" max="16384" width="8.85546875" style="1"/>
  </cols>
  <sheetData>
    <row r="1" spans="2:42" ht="15.75" thickBot="1" x14ac:dyDescent="0.3">
      <c r="AD1" s="1"/>
      <c r="AE1" s="1"/>
      <c r="AF1" s="1"/>
      <c r="AG1" s="1"/>
      <c r="AH1" s="1"/>
      <c r="AI1" s="1"/>
    </row>
    <row r="2" spans="2:42" x14ac:dyDescent="0.25">
      <c r="B2" s="358" t="s">
        <v>57</v>
      </c>
      <c r="C2" s="359"/>
      <c r="D2" s="359"/>
      <c r="E2" s="359"/>
      <c r="F2" s="359"/>
      <c r="G2" s="360"/>
      <c r="H2" s="3"/>
      <c r="I2" s="358" t="s">
        <v>90</v>
      </c>
      <c r="J2" s="359"/>
      <c r="K2" s="359"/>
      <c r="L2" s="359"/>
      <c r="M2" s="359"/>
      <c r="N2" s="360"/>
      <c r="O2" s="10"/>
      <c r="P2" s="358" t="s">
        <v>91</v>
      </c>
      <c r="Q2" s="359"/>
      <c r="R2" s="359"/>
      <c r="S2" s="359"/>
      <c r="T2" s="359"/>
      <c r="U2" s="360"/>
      <c r="W2" s="358" t="s">
        <v>92</v>
      </c>
      <c r="X2" s="359"/>
      <c r="Y2" s="359"/>
      <c r="Z2" s="359"/>
      <c r="AA2" s="359"/>
      <c r="AB2" s="360"/>
      <c r="AD2" s="1"/>
      <c r="AE2" s="1"/>
      <c r="AF2" s="1"/>
      <c r="AG2" s="1"/>
      <c r="AH2" s="1"/>
      <c r="AI2" s="1"/>
      <c r="AK2" s="358" t="s">
        <v>137</v>
      </c>
      <c r="AL2" s="359"/>
      <c r="AM2" s="359"/>
      <c r="AN2" s="359"/>
      <c r="AO2" s="359"/>
      <c r="AP2" s="360"/>
    </row>
    <row r="3" spans="2:42" x14ac:dyDescent="0.25">
      <c r="B3" s="12" t="s">
        <v>84</v>
      </c>
      <c r="C3" s="16"/>
      <c r="D3" s="16"/>
      <c r="E3" s="16"/>
      <c r="F3" s="16"/>
      <c r="G3" s="45">
        <f>+'Wheat Grain'!D3</f>
        <v>40</v>
      </c>
      <c r="I3" s="12" t="s">
        <v>84</v>
      </c>
      <c r="J3" s="16"/>
      <c r="K3" s="16"/>
      <c r="L3" s="16"/>
      <c r="M3" s="16"/>
      <c r="N3" s="45">
        <f>+'Wheat Dual  ~700Lb'!D3</f>
        <v>35</v>
      </c>
      <c r="O3" s="2"/>
      <c r="P3" s="12" t="s">
        <v>84</v>
      </c>
      <c r="Q3" s="16"/>
      <c r="R3" s="16"/>
      <c r="S3" s="16"/>
      <c r="T3" s="16"/>
      <c r="U3" s="45">
        <f>+'Wheat Dual ~800Lb'!D3</f>
        <v>35</v>
      </c>
      <c r="W3" s="83" t="s">
        <v>84</v>
      </c>
      <c r="X3" s="84"/>
      <c r="Y3" s="84"/>
      <c r="Z3" s="84"/>
      <c r="AA3" s="84"/>
      <c r="AB3" s="45">
        <f>+Assumptions!F11</f>
        <v>0</v>
      </c>
      <c r="AD3" s="1"/>
      <c r="AE3" s="1"/>
      <c r="AF3" s="1"/>
      <c r="AG3" s="1"/>
      <c r="AH3" s="1"/>
      <c r="AI3" s="1"/>
      <c r="AK3" s="83"/>
      <c r="AL3" s="84"/>
      <c r="AM3" s="84"/>
      <c r="AN3" s="84"/>
      <c r="AO3" s="84"/>
      <c r="AP3" s="45"/>
    </row>
    <row r="4" spans="2:42" x14ac:dyDescent="0.25">
      <c r="B4" s="12" t="s">
        <v>85</v>
      </c>
      <c r="C4" s="16"/>
      <c r="D4" s="16"/>
      <c r="E4" s="16"/>
      <c r="F4" s="16"/>
      <c r="G4" s="45">
        <v>0</v>
      </c>
      <c r="I4" s="12" t="s">
        <v>85</v>
      </c>
      <c r="J4" s="16"/>
      <c r="K4" s="16"/>
      <c r="L4" s="16"/>
      <c r="M4" s="16"/>
      <c r="N4" s="45">
        <f>+'Wheat Dual  ~700Lb'!M4</f>
        <v>82.5</v>
      </c>
      <c r="O4" s="2"/>
      <c r="P4" s="12" t="s">
        <v>85</v>
      </c>
      <c r="Q4" s="16"/>
      <c r="R4" s="16"/>
      <c r="S4" s="16"/>
      <c r="T4" s="16"/>
      <c r="U4" s="45">
        <f>+'Wheat Dual ~800Lb'!D4+'Wheat Dual ~800Lb'!D5</f>
        <v>137.72500000000002</v>
      </c>
      <c r="W4" s="83" t="s">
        <v>85</v>
      </c>
      <c r="X4" s="84"/>
      <c r="Y4" s="84"/>
      <c r="Z4" s="84"/>
      <c r="AA4" s="84"/>
      <c r="AB4" s="45">
        <f>+'Wheat Graze Out'!M4+'Wheat Graze Out'!M5</f>
        <v>229.76666666666668</v>
      </c>
      <c r="AD4" s="1"/>
      <c r="AE4" s="1"/>
      <c r="AF4" s="1"/>
      <c r="AG4" s="1"/>
      <c r="AH4" s="1"/>
      <c r="AI4" s="1"/>
      <c r="AK4" s="83" t="s">
        <v>85</v>
      </c>
      <c r="AL4" s="84"/>
      <c r="AM4" s="84"/>
      <c r="AN4" s="84"/>
      <c r="AO4" s="84"/>
      <c r="AP4" s="45">
        <f>+Triticale!M5+Triticale!M4</f>
        <v>262.77785454088678</v>
      </c>
    </row>
    <row r="5" spans="2:42" x14ac:dyDescent="0.25">
      <c r="B5" s="12" t="s">
        <v>60</v>
      </c>
      <c r="C5" s="16"/>
      <c r="D5" s="16"/>
      <c r="E5" s="16"/>
      <c r="F5" s="16"/>
      <c r="G5" s="49">
        <v>5.38</v>
      </c>
      <c r="I5" s="12" t="s">
        <v>60</v>
      </c>
      <c r="J5" s="16"/>
      <c r="K5" s="16"/>
      <c r="L5" s="16"/>
      <c r="M5" s="16"/>
      <c r="N5" s="49">
        <f>+G5</f>
        <v>5.38</v>
      </c>
      <c r="P5" s="12" t="s">
        <v>60</v>
      </c>
      <c r="Q5" s="16"/>
      <c r="R5" s="16"/>
      <c r="S5" s="16"/>
      <c r="T5" s="16"/>
      <c r="U5" s="101">
        <f>+N5</f>
        <v>5.38</v>
      </c>
      <c r="W5" s="83" t="s">
        <v>60</v>
      </c>
      <c r="X5" s="84"/>
      <c r="Y5" s="84"/>
      <c r="Z5" s="84"/>
      <c r="AA5" s="84"/>
      <c r="AB5" s="40"/>
      <c r="AD5" s="1"/>
      <c r="AE5" s="1"/>
      <c r="AF5" s="1"/>
      <c r="AG5" s="1"/>
      <c r="AH5" s="1"/>
      <c r="AI5" s="1"/>
      <c r="AK5" s="83"/>
      <c r="AL5" s="84"/>
      <c r="AM5" s="84"/>
      <c r="AN5" s="84"/>
      <c r="AO5" s="84"/>
      <c r="AP5" s="40"/>
    </row>
    <row r="6" spans="2:42" x14ac:dyDescent="0.25">
      <c r="B6" s="12" t="s">
        <v>63</v>
      </c>
      <c r="C6" s="16"/>
      <c r="D6" s="16"/>
      <c r="E6" s="16"/>
      <c r="F6" s="16"/>
      <c r="G6" s="50">
        <v>1</v>
      </c>
      <c r="I6" s="12" t="s">
        <v>63</v>
      </c>
      <c r="J6" s="16"/>
      <c r="K6" s="16"/>
      <c r="L6" s="16"/>
      <c r="M6" s="16"/>
      <c r="N6" s="50">
        <v>1</v>
      </c>
      <c r="P6" s="12" t="s">
        <v>63</v>
      </c>
      <c r="Q6" s="16"/>
      <c r="R6" s="16"/>
      <c r="S6" s="16"/>
      <c r="T6" s="16"/>
      <c r="U6" s="51">
        <f>+'Wheat Dual ~800Lb'!H3</f>
        <v>0.625</v>
      </c>
      <c r="W6" s="83" t="s">
        <v>63</v>
      </c>
      <c r="X6" s="84"/>
      <c r="Y6" s="84"/>
      <c r="Z6" s="84"/>
      <c r="AA6" s="84"/>
      <c r="AB6" s="85">
        <v>0</v>
      </c>
      <c r="AD6" s="1"/>
      <c r="AE6" s="1"/>
      <c r="AF6" s="1"/>
      <c r="AG6" s="1"/>
      <c r="AH6" s="1"/>
      <c r="AI6" s="1"/>
      <c r="AK6" s="83"/>
      <c r="AL6" s="84"/>
      <c r="AM6" s="84"/>
      <c r="AN6" s="84"/>
      <c r="AO6" s="84"/>
      <c r="AP6" s="85"/>
    </row>
    <row r="7" spans="2:42" x14ac:dyDescent="0.25">
      <c r="B7" s="12" t="s">
        <v>64</v>
      </c>
      <c r="C7" s="16"/>
      <c r="D7" s="16"/>
      <c r="E7" s="16"/>
      <c r="F7" s="16"/>
      <c r="G7" s="54">
        <f>+G5*G3</f>
        <v>215.2</v>
      </c>
      <c r="I7" s="12" t="s">
        <v>64</v>
      </c>
      <c r="J7" s="16"/>
      <c r="K7" s="16"/>
      <c r="L7" s="16"/>
      <c r="M7" s="16"/>
      <c r="N7" s="54">
        <f>+N5*N3</f>
        <v>188.29999999999998</v>
      </c>
      <c r="O7" s="5"/>
      <c r="P7" s="12" t="s">
        <v>64</v>
      </c>
      <c r="Q7" s="16"/>
      <c r="R7" s="16"/>
      <c r="S7" s="16"/>
      <c r="T7" s="16"/>
      <c r="U7" s="54">
        <f>+U5*U3*U6</f>
        <v>117.68749999999999</v>
      </c>
      <c r="W7" s="83" t="s">
        <v>64</v>
      </c>
      <c r="X7" s="84"/>
      <c r="Y7" s="84"/>
      <c r="Z7" s="84"/>
      <c r="AA7" s="84"/>
      <c r="AB7" s="101">
        <v>0</v>
      </c>
      <c r="AD7" s="1"/>
      <c r="AE7" s="1"/>
      <c r="AF7" s="1"/>
      <c r="AG7" s="1"/>
      <c r="AH7" s="1"/>
      <c r="AI7" s="1"/>
      <c r="AK7" s="83"/>
      <c r="AL7" s="84"/>
      <c r="AM7" s="84"/>
      <c r="AN7" s="84"/>
      <c r="AO7" s="84"/>
      <c r="AP7" s="101"/>
    </row>
    <row r="8" spans="2:42" x14ac:dyDescent="0.25">
      <c r="B8" s="12"/>
      <c r="C8" s="16"/>
      <c r="D8" s="16"/>
      <c r="E8" s="16"/>
      <c r="F8" s="16"/>
      <c r="G8" s="39"/>
      <c r="I8" s="12" t="s">
        <v>65</v>
      </c>
      <c r="J8" s="16"/>
      <c r="K8" s="16"/>
      <c r="L8" s="16"/>
      <c r="M8" s="16"/>
      <c r="N8" s="39">
        <f>+'Wheat Dual  ~700Lb'!G4</f>
        <v>53.625</v>
      </c>
      <c r="O8" s="5"/>
      <c r="P8" s="12" t="s">
        <v>65</v>
      </c>
      <c r="Q8" s="16"/>
      <c r="R8" s="16"/>
      <c r="S8" s="16"/>
      <c r="T8" s="16"/>
      <c r="U8" s="54">
        <f>+'Wheat Dual ~800Lb'!G4+'Wheat Dual ~800Lb'!G5</f>
        <v>89.521250000000009</v>
      </c>
      <c r="W8" s="83" t="s">
        <v>65</v>
      </c>
      <c r="X8" s="84"/>
      <c r="Y8" s="84"/>
      <c r="Z8" s="84"/>
      <c r="AA8" s="84"/>
      <c r="AB8" s="58">
        <f>+'Wheat Graze Out'!G4+'Wheat Graze Out'!G5</f>
        <v>149.34833333333336</v>
      </c>
      <c r="AC8" s="19"/>
      <c r="AD8" s="1"/>
      <c r="AE8" s="1"/>
      <c r="AF8" s="1"/>
      <c r="AG8" s="1"/>
      <c r="AH8" s="1"/>
      <c r="AI8" s="1"/>
      <c r="AK8" s="83" t="s">
        <v>65</v>
      </c>
      <c r="AL8" s="84"/>
      <c r="AM8" s="84"/>
      <c r="AN8" s="84"/>
      <c r="AO8" s="84"/>
      <c r="AP8" s="58">
        <f>+Triticale!G7</f>
        <v>170.80560545157641</v>
      </c>
    </row>
    <row r="9" spans="2:42" x14ac:dyDescent="0.25">
      <c r="B9" s="42" t="s">
        <v>72</v>
      </c>
      <c r="C9" s="55"/>
      <c r="D9" s="55"/>
      <c r="E9" s="55"/>
      <c r="F9" s="55"/>
      <c r="G9" s="57">
        <f>+G7+G8</f>
        <v>215.2</v>
      </c>
      <c r="I9" s="42" t="s">
        <v>72</v>
      </c>
      <c r="J9" s="55"/>
      <c r="K9" s="55"/>
      <c r="L9" s="55"/>
      <c r="M9" s="55"/>
      <c r="N9" s="57">
        <f>+N7+N8</f>
        <v>241.92499999999998</v>
      </c>
      <c r="O9" s="6"/>
      <c r="P9" s="42" t="s">
        <v>72</v>
      </c>
      <c r="Q9" s="55"/>
      <c r="R9" s="55"/>
      <c r="S9" s="55"/>
      <c r="T9" s="55"/>
      <c r="U9" s="57">
        <f>+U7+U8</f>
        <v>207.20875000000001</v>
      </c>
      <c r="W9" s="42" t="s">
        <v>72</v>
      </c>
      <c r="X9" s="55"/>
      <c r="Y9" s="55"/>
      <c r="Z9" s="55"/>
      <c r="AA9" s="55"/>
      <c r="AB9" s="57">
        <f>+AB7+AB8</f>
        <v>149.34833333333336</v>
      </c>
      <c r="AC9" s="19"/>
      <c r="AD9" s="1"/>
      <c r="AE9" s="1"/>
      <c r="AF9" s="1"/>
      <c r="AG9" s="1"/>
      <c r="AH9" s="1"/>
      <c r="AI9" s="1"/>
      <c r="AK9" s="42" t="s">
        <v>72</v>
      </c>
      <c r="AL9" s="55"/>
      <c r="AM9" s="55"/>
      <c r="AN9" s="55"/>
      <c r="AO9" s="55"/>
      <c r="AP9" s="57">
        <f>+AP7+AP8</f>
        <v>170.80560545157641</v>
      </c>
    </row>
    <row r="10" spans="2:42" x14ac:dyDescent="0.25">
      <c r="B10" s="12"/>
      <c r="C10" s="16"/>
      <c r="D10" s="16"/>
      <c r="E10" s="16"/>
      <c r="F10" s="16"/>
      <c r="G10" s="13"/>
      <c r="I10" s="12"/>
      <c r="J10" s="16"/>
      <c r="K10" s="16"/>
      <c r="L10" s="16"/>
      <c r="M10" s="16"/>
      <c r="N10" s="13"/>
      <c r="P10" s="12"/>
      <c r="Q10" s="16"/>
      <c r="R10" s="16"/>
      <c r="S10" s="16"/>
      <c r="T10" s="16"/>
      <c r="U10" s="13"/>
      <c r="W10" s="83"/>
      <c r="X10" s="84"/>
      <c r="Y10" s="84"/>
      <c r="Z10" s="84"/>
      <c r="AA10" s="84"/>
      <c r="AB10" s="86"/>
      <c r="AD10" s="1"/>
      <c r="AE10" s="1"/>
      <c r="AF10" s="1"/>
      <c r="AG10" s="1"/>
      <c r="AH10" s="1"/>
      <c r="AI10" s="1"/>
      <c r="AK10" s="83"/>
      <c r="AL10" s="84"/>
      <c r="AM10" s="84"/>
      <c r="AN10" s="84"/>
      <c r="AO10" s="84"/>
      <c r="AP10" s="86"/>
    </row>
    <row r="11" spans="2:42" x14ac:dyDescent="0.25">
      <c r="B11" s="12" t="s">
        <v>11</v>
      </c>
      <c r="C11" s="16"/>
      <c r="D11" s="16"/>
      <c r="E11" s="16"/>
      <c r="F11" s="16"/>
      <c r="G11" s="58">
        <f>+'Wheat Grain'!G22</f>
        <v>196.09787499999999</v>
      </c>
      <c r="I11" s="12" t="s">
        <v>11</v>
      </c>
      <c r="J11" s="16"/>
      <c r="K11" s="16"/>
      <c r="L11" s="16"/>
      <c r="M11" s="16"/>
      <c r="N11" s="58">
        <f>+'Wheat Dual  ~700Lb'!G22</f>
        <v>220.943095</v>
      </c>
      <c r="O11" s="5"/>
      <c r="P11" s="12" t="s">
        <v>11</v>
      </c>
      <c r="Q11" s="16"/>
      <c r="R11" s="16"/>
      <c r="S11" s="16"/>
      <c r="T11" s="16"/>
      <c r="U11" s="58">
        <f>+'Wheat Dual ~800Lb'!G22</f>
        <v>220.943095</v>
      </c>
      <c r="W11" s="83" t="s">
        <v>11</v>
      </c>
      <c r="X11" s="84"/>
      <c r="Y11" s="84"/>
      <c r="Z11" s="84"/>
      <c r="AA11" s="84"/>
      <c r="AB11" s="58">
        <f>+'Wheat Graze Out'!G22</f>
        <v>215.07374999999999</v>
      </c>
      <c r="AC11" s="19"/>
      <c r="AD11" s="1"/>
      <c r="AE11" s="1"/>
      <c r="AF11" s="1"/>
      <c r="AG11" s="1"/>
      <c r="AH11" s="1"/>
      <c r="AI11" s="1"/>
      <c r="AK11" s="83" t="s">
        <v>11</v>
      </c>
      <c r="AL11" s="84"/>
      <c r="AM11" s="84"/>
      <c r="AN11" s="84"/>
      <c r="AO11" s="84"/>
      <c r="AP11" s="58">
        <f>+Triticale!G22</f>
        <v>143.22687500000001</v>
      </c>
    </row>
    <row r="12" spans="2:42" x14ac:dyDescent="0.25">
      <c r="B12" s="12" t="s">
        <v>61</v>
      </c>
      <c r="C12" s="16"/>
      <c r="D12" s="16"/>
      <c r="E12" s="16"/>
      <c r="F12" s="16"/>
      <c r="G12" s="58">
        <f>+'Wheat Grain'!G27</f>
        <v>49.6</v>
      </c>
      <c r="I12" s="12" t="s">
        <v>61</v>
      </c>
      <c r="J12" s="16"/>
      <c r="K12" s="16"/>
      <c r="L12" s="16"/>
      <c r="M12" s="16"/>
      <c r="N12" s="58">
        <f>+'Wheat Dual  ~700Lb'!G24</f>
        <v>49.6</v>
      </c>
      <c r="O12" s="5"/>
      <c r="P12" s="12" t="s">
        <v>61</v>
      </c>
      <c r="Q12" s="16"/>
      <c r="R12" s="16"/>
      <c r="S12" s="16"/>
      <c r="T12" s="16"/>
      <c r="U12" s="58">
        <f>+'Wheat Dual ~800Lb'!G24</f>
        <v>31</v>
      </c>
      <c r="W12" s="83" t="s">
        <v>61</v>
      </c>
      <c r="X12" s="84"/>
      <c r="Y12" s="84"/>
      <c r="Z12" s="84"/>
      <c r="AA12" s="84"/>
      <c r="AB12" s="58">
        <f>+'Wheat Dual ~800Lb'!N19</f>
        <v>0</v>
      </c>
      <c r="AC12" s="19"/>
      <c r="AD12" s="1"/>
      <c r="AE12" s="1"/>
      <c r="AF12" s="1"/>
      <c r="AG12" s="1"/>
      <c r="AH12" s="1"/>
      <c r="AI12" s="1"/>
      <c r="AK12" s="83"/>
      <c r="AL12" s="84"/>
      <c r="AM12" s="84"/>
      <c r="AN12" s="84"/>
      <c r="AO12" s="84"/>
      <c r="AP12" s="58"/>
    </row>
    <row r="13" spans="2:42" x14ac:dyDescent="0.25">
      <c r="B13" s="41" t="s">
        <v>33</v>
      </c>
      <c r="C13" s="47"/>
      <c r="D13" s="47"/>
      <c r="E13" s="47"/>
      <c r="F13" s="47"/>
      <c r="G13" s="59">
        <f>+G11+G12</f>
        <v>245.69787499999998</v>
      </c>
      <c r="I13" s="41" t="s">
        <v>33</v>
      </c>
      <c r="J13" s="47"/>
      <c r="K13" s="47"/>
      <c r="L13" s="47"/>
      <c r="M13" s="47"/>
      <c r="N13" s="59">
        <f>+N11+N12</f>
        <v>270.54309499999999</v>
      </c>
      <c r="O13" s="6"/>
      <c r="P13" s="41" t="s">
        <v>33</v>
      </c>
      <c r="Q13" s="47"/>
      <c r="R13" s="47"/>
      <c r="S13" s="47"/>
      <c r="T13" s="47"/>
      <c r="U13" s="59">
        <f>+U11+U12</f>
        <v>251.943095</v>
      </c>
      <c r="W13" s="87" t="s">
        <v>33</v>
      </c>
      <c r="X13" s="88"/>
      <c r="Y13" s="88"/>
      <c r="Z13" s="88"/>
      <c r="AA13" s="88"/>
      <c r="AB13" s="89">
        <f>+AB11+AB12</f>
        <v>215.07374999999999</v>
      </c>
      <c r="AC13" s="19"/>
      <c r="AD13" s="1"/>
      <c r="AE13" s="1"/>
      <c r="AF13" s="1"/>
      <c r="AG13" s="1"/>
      <c r="AH13" s="1"/>
      <c r="AI13" s="1"/>
      <c r="AK13" s="87" t="s">
        <v>33</v>
      </c>
      <c r="AL13" s="88"/>
      <c r="AM13" s="88"/>
      <c r="AN13" s="88"/>
      <c r="AO13" s="88"/>
      <c r="AP13" s="89">
        <f>+AP11+AP12</f>
        <v>143.22687500000001</v>
      </c>
    </row>
    <row r="14" spans="2:42" x14ac:dyDescent="0.25">
      <c r="B14" s="12"/>
      <c r="C14" s="16"/>
      <c r="D14" s="16"/>
      <c r="E14" s="16"/>
      <c r="F14" s="16"/>
      <c r="G14" s="13"/>
      <c r="I14" s="12"/>
      <c r="J14" s="16"/>
      <c r="K14" s="16"/>
      <c r="L14" s="16"/>
      <c r="M14" s="16"/>
      <c r="N14" s="13"/>
      <c r="P14" s="12"/>
      <c r="Q14" s="16"/>
      <c r="R14" s="16"/>
      <c r="S14" s="16"/>
      <c r="T14" s="16"/>
      <c r="U14" s="13"/>
      <c r="W14" s="83"/>
      <c r="X14" s="84"/>
      <c r="Y14" s="84"/>
      <c r="Z14" s="84"/>
      <c r="AA14" s="84"/>
      <c r="AB14" s="86"/>
      <c r="AD14" s="1"/>
      <c r="AE14" s="1"/>
      <c r="AF14" s="1"/>
      <c r="AG14" s="1"/>
      <c r="AH14" s="1"/>
      <c r="AI14" s="1"/>
      <c r="AK14" s="83"/>
      <c r="AL14" s="84"/>
      <c r="AM14" s="84"/>
      <c r="AN14" s="84"/>
      <c r="AO14" s="84"/>
      <c r="AP14" s="86"/>
    </row>
    <row r="15" spans="2:42" x14ac:dyDescent="0.25">
      <c r="B15" s="42" t="s">
        <v>74</v>
      </c>
      <c r="C15" s="55"/>
      <c r="D15" s="55"/>
      <c r="E15" s="55"/>
      <c r="F15" s="55"/>
      <c r="G15" s="97">
        <f>+G9-G13</f>
        <v>-30.497874999999993</v>
      </c>
      <c r="H15" s="3"/>
      <c r="I15" s="42" t="s">
        <v>74</v>
      </c>
      <c r="J15" s="55"/>
      <c r="K15" s="55"/>
      <c r="L15" s="55"/>
      <c r="M15" s="55"/>
      <c r="N15" s="77">
        <f>+N9-N13</f>
        <v>-28.618095000000011</v>
      </c>
      <c r="O15" s="6"/>
      <c r="P15" s="42" t="s">
        <v>74</v>
      </c>
      <c r="Q15" s="55"/>
      <c r="R15" s="55"/>
      <c r="S15" s="55"/>
      <c r="T15" s="55"/>
      <c r="U15" s="97">
        <f>+U9-U13</f>
        <v>-44.73434499999999</v>
      </c>
      <c r="W15" s="42" t="s">
        <v>74</v>
      </c>
      <c r="X15" s="55"/>
      <c r="Y15" s="55"/>
      <c r="Z15" s="55"/>
      <c r="AA15" s="55"/>
      <c r="AB15" s="97">
        <f>+AB9-AB13</f>
        <v>-65.725416666666632</v>
      </c>
      <c r="AD15" s="1"/>
      <c r="AE15" s="1"/>
      <c r="AF15" s="1"/>
      <c r="AG15" s="1"/>
      <c r="AH15" s="1"/>
      <c r="AI15" s="1"/>
      <c r="AK15" s="42" t="s">
        <v>74</v>
      </c>
      <c r="AL15" s="55"/>
      <c r="AM15" s="55"/>
      <c r="AN15" s="55"/>
      <c r="AO15" s="55"/>
      <c r="AP15" s="97">
        <f>+AP9-AP13</f>
        <v>27.578730451576405</v>
      </c>
    </row>
    <row r="16" spans="2:42" x14ac:dyDescent="0.25">
      <c r="B16" s="12"/>
      <c r="C16" s="16"/>
      <c r="D16" s="16"/>
      <c r="E16" s="16"/>
      <c r="F16" s="16"/>
      <c r="G16" s="13"/>
      <c r="I16" s="12"/>
      <c r="J16" s="16"/>
      <c r="K16" s="16"/>
      <c r="L16" s="16"/>
      <c r="M16" s="16"/>
      <c r="N16" s="13"/>
      <c r="P16" s="12"/>
      <c r="Q16" s="16"/>
      <c r="R16" s="16"/>
      <c r="S16" s="16"/>
      <c r="T16" s="16"/>
      <c r="U16" s="78"/>
      <c r="W16" s="83"/>
      <c r="X16" s="84"/>
      <c r="Y16" s="84"/>
      <c r="Z16" s="84"/>
      <c r="AA16" s="84"/>
      <c r="AB16" s="79"/>
      <c r="AD16" s="1"/>
      <c r="AE16" s="1"/>
      <c r="AF16" s="1"/>
      <c r="AG16" s="1"/>
      <c r="AH16" s="1"/>
      <c r="AI16" s="1"/>
      <c r="AK16" s="83"/>
      <c r="AL16" s="84"/>
      <c r="AM16" s="84"/>
      <c r="AN16" s="84"/>
      <c r="AO16" s="84"/>
      <c r="AP16" s="79"/>
    </row>
    <row r="17" spans="2:42" x14ac:dyDescent="0.25">
      <c r="B17" s="12" t="s">
        <v>62</v>
      </c>
      <c r="C17" s="16"/>
      <c r="D17" s="16"/>
      <c r="E17" s="16"/>
      <c r="F17" s="16"/>
      <c r="G17" s="58">
        <f>+'Wheat Grain'!G47</f>
        <v>64.67</v>
      </c>
      <c r="I17" s="12" t="s">
        <v>62</v>
      </c>
      <c r="J17" s="16"/>
      <c r="K17" s="16"/>
      <c r="L17" s="16"/>
      <c r="M17" s="16"/>
      <c r="N17" s="58">
        <f>+'Wheat Dual  ~700Lb'!G47</f>
        <v>64.67</v>
      </c>
      <c r="O17" s="5"/>
      <c r="P17" s="12" t="s">
        <v>62</v>
      </c>
      <c r="Q17" s="16"/>
      <c r="R17" s="16"/>
      <c r="S17" s="16"/>
      <c r="T17" s="16"/>
      <c r="U17" s="99">
        <f>+'Wheat Dual ~800Lb'!G47</f>
        <v>64.67</v>
      </c>
      <c r="W17" s="83" t="s">
        <v>62</v>
      </c>
      <c r="X17" s="84"/>
      <c r="Y17" s="84"/>
      <c r="Z17" s="84"/>
      <c r="AA17" s="84"/>
      <c r="AB17" s="99">
        <f>+'Wheat Graze Out'!G47</f>
        <v>44.94</v>
      </c>
      <c r="AD17" s="1"/>
      <c r="AE17" s="1"/>
      <c r="AF17" s="1"/>
      <c r="AG17" s="1"/>
      <c r="AH17" s="1"/>
      <c r="AI17" s="1"/>
      <c r="AK17" s="83" t="s">
        <v>62</v>
      </c>
      <c r="AL17" s="84"/>
      <c r="AM17" s="84"/>
      <c r="AN17" s="84"/>
      <c r="AO17" s="84"/>
      <c r="AP17" s="99">
        <f>+Triticale!G47</f>
        <v>44.94</v>
      </c>
    </row>
    <row r="18" spans="2:42" x14ac:dyDescent="0.25">
      <c r="B18" s="12"/>
      <c r="C18" s="16"/>
      <c r="D18" s="16"/>
      <c r="E18" s="16"/>
      <c r="F18" s="16"/>
      <c r="G18" s="54"/>
      <c r="I18" s="12"/>
      <c r="J18" s="16"/>
      <c r="K18" s="16"/>
      <c r="L18" s="16"/>
      <c r="M18" s="16"/>
      <c r="N18" s="54"/>
      <c r="P18" s="12"/>
      <c r="Q18" s="16"/>
      <c r="R18" s="16"/>
      <c r="S18" s="16"/>
      <c r="T18" s="16"/>
      <c r="U18" s="100"/>
      <c r="W18" s="83"/>
      <c r="X18" s="84"/>
      <c r="Y18" s="84"/>
      <c r="Z18" s="84"/>
      <c r="AA18" s="84"/>
      <c r="AB18" s="79"/>
      <c r="AD18" s="1"/>
      <c r="AE18" s="1"/>
      <c r="AF18" s="1"/>
      <c r="AG18" s="1"/>
      <c r="AH18" s="1"/>
      <c r="AI18" s="1"/>
      <c r="AK18" s="83"/>
      <c r="AL18" s="84"/>
      <c r="AM18" s="84"/>
      <c r="AN18" s="84"/>
      <c r="AO18" s="84"/>
      <c r="AP18" s="79"/>
    </row>
    <row r="19" spans="2:42" ht="15.75" thickBot="1" x14ac:dyDescent="0.3">
      <c r="B19" s="44" t="s">
        <v>73</v>
      </c>
      <c r="C19" s="56"/>
      <c r="D19" s="56"/>
      <c r="E19" s="56"/>
      <c r="F19" s="56"/>
      <c r="G19" s="98">
        <f>+G15-G17</f>
        <v>-95.167874999999995</v>
      </c>
      <c r="I19" s="44" t="s">
        <v>73</v>
      </c>
      <c r="J19" s="56"/>
      <c r="K19" s="56"/>
      <c r="L19" s="56"/>
      <c r="M19" s="56"/>
      <c r="N19" s="98">
        <f>+N15-N17</f>
        <v>-93.288095000000013</v>
      </c>
      <c r="O19" s="5"/>
      <c r="P19" s="44" t="s">
        <v>73</v>
      </c>
      <c r="Q19" s="56"/>
      <c r="R19" s="56"/>
      <c r="S19" s="56"/>
      <c r="T19" s="56"/>
      <c r="U19" s="98">
        <f>+U15-U17</f>
        <v>-109.40434499999999</v>
      </c>
      <c r="W19" s="44" t="s">
        <v>73</v>
      </c>
      <c r="X19" s="56"/>
      <c r="Y19" s="56"/>
      <c r="Z19" s="56"/>
      <c r="AA19" s="56"/>
      <c r="AB19" s="82">
        <f>+AB15-AB17</f>
        <v>-110.66541666666663</v>
      </c>
      <c r="AD19" s="1"/>
      <c r="AE19" s="1"/>
      <c r="AF19" s="1"/>
      <c r="AG19" s="1"/>
      <c r="AH19" s="1"/>
      <c r="AI19" s="1"/>
      <c r="AK19" s="44" t="s">
        <v>73</v>
      </c>
      <c r="AL19" s="56"/>
      <c r="AM19" s="56"/>
      <c r="AN19" s="56"/>
      <c r="AO19" s="56"/>
      <c r="AP19" s="98">
        <f>+AP15-AP17</f>
        <v>-17.361269548423593</v>
      </c>
    </row>
    <row r="20" spans="2:42" ht="15.75" thickBot="1" x14ac:dyDescent="0.3">
      <c r="U20" s="94"/>
      <c r="AD20" s="1"/>
      <c r="AE20" s="1"/>
      <c r="AF20" s="1"/>
      <c r="AG20" s="1"/>
      <c r="AH20" s="1"/>
      <c r="AI20" s="1"/>
    </row>
    <row r="21" spans="2:42" x14ac:dyDescent="0.25">
      <c r="B21" s="11" t="s">
        <v>67</v>
      </c>
      <c r="C21" s="15"/>
      <c r="D21" s="15"/>
      <c r="E21" s="15"/>
      <c r="F21" s="15"/>
      <c r="G21" s="102">
        <f>+G13/G3</f>
        <v>6.1424468749999992</v>
      </c>
      <c r="I21" s="11" t="s">
        <v>67</v>
      </c>
      <c r="J21" s="15"/>
      <c r="K21" s="15"/>
      <c r="L21" s="15"/>
      <c r="M21" s="15"/>
      <c r="N21" s="102">
        <f>+(N13-N8)/N3</f>
        <v>6.1976598571428569</v>
      </c>
      <c r="O21" s="8"/>
      <c r="P21" s="11" t="s">
        <v>67</v>
      </c>
      <c r="Q21" s="15"/>
      <c r="R21" s="15"/>
      <c r="S21" s="15"/>
      <c r="T21" s="15"/>
      <c r="U21" s="95">
        <f>+(U13-N8)/U3</f>
        <v>5.6662312857142858</v>
      </c>
      <c r="W21" s="11" t="s">
        <v>81</v>
      </c>
      <c r="X21" s="15"/>
      <c r="Y21" s="15"/>
      <c r="Z21" s="15"/>
      <c r="AA21" s="15"/>
      <c r="AB21" s="46">
        <f>+AB13/AB4</f>
        <v>0.93605287973306239</v>
      </c>
      <c r="AD21" s="1"/>
      <c r="AE21" s="1"/>
      <c r="AF21" s="1"/>
      <c r="AG21" s="1"/>
      <c r="AH21" s="1"/>
      <c r="AI21" s="1"/>
      <c r="AK21" s="11" t="s">
        <v>81</v>
      </c>
      <c r="AL21" s="15"/>
      <c r="AM21" s="15"/>
      <c r="AN21" s="15"/>
      <c r="AO21" s="15"/>
      <c r="AP21" s="46">
        <f>+AP13/AP4</f>
        <v>0.54504925938389792</v>
      </c>
    </row>
    <row r="22" spans="2:42" ht="15.75" thickBot="1" x14ac:dyDescent="0.3">
      <c r="B22" s="14" t="s">
        <v>66</v>
      </c>
      <c r="C22" s="17"/>
      <c r="D22" s="17"/>
      <c r="E22" s="17"/>
      <c r="F22" s="17"/>
      <c r="G22" s="103">
        <f>+(G13+G17)/G3</f>
        <v>7.7591968749999989</v>
      </c>
      <c r="I22" s="14" t="s">
        <v>66</v>
      </c>
      <c r="J22" s="17"/>
      <c r="K22" s="17"/>
      <c r="L22" s="17"/>
      <c r="M22" s="17"/>
      <c r="N22" s="103">
        <f>+(N13+N17-N8)/N3</f>
        <v>8.0453741428571437</v>
      </c>
      <c r="O22" s="8"/>
      <c r="P22" s="14" t="s">
        <v>66</v>
      </c>
      <c r="Q22" s="17"/>
      <c r="R22" s="17"/>
      <c r="S22" s="17"/>
      <c r="T22" s="17"/>
      <c r="U22" s="96">
        <f>+(U13+U17-N8)/U3</f>
        <v>7.5139455714285708</v>
      </c>
      <c r="W22" s="14" t="s">
        <v>82</v>
      </c>
      <c r="X22" s="17"/>
      <c r="Y22" s="17"/>
      <c r="Z22" s="17"/>
      <c r="AA22" s="17"/>
      <c r="AB22" s="18">
        <f>+(AB17+AB13)/AB4</f>
        <v>1.1316426084433482</v>
      </c>
      <c r="AD22" s="1"/>
      <c r="AE22" s="1"/>
      <c r="AF22" s="1"/>
      <c r="AG22" s="1"/>
      <c r="AH22" s="1"/>
      <c r="AI22" s="1"/>
      <c r="AK22" s="14" t="s">
        <v>82</v>
      </c>
      <c r="AL22" s="17"/>
      <c r="AM22" s="17"/>
      <c r="AN22" s="17"/>
      <c r="AO22" s="17"/>
      <c r="AP22" s="18">
        <f>+(AP17+AP13)/AP4</f>
        <v>0.71606823690967569</v>
      </c>
    </row>
    <row r="23" spans="2:42" ht="4.9000000000000004" customHeight="1" thickBot="1" x14ac:dyDescent="0.3">
      <c r="AD23" s="1"/>
      <c r="AE23" s="1"/>
      <c r="AF23" s="1"/>
      <c r="AG23" s="1"/>
      <c r="AH23" s="1"/>
      <c r="AI23" s="1"/>
    </row>
    <row r="24" spans="2:42" ht="16.5" thickTop="1" thickBot="1" x14ac:dyDescent="0.3">
      <c r="B24" s="352" t="s">
        <v>117</v>
      </c>
      <c r="C24" s="353"/>
      <c r="D24" s="353"/>
      <c r="E24" s="353"/>
      <c r="F24" s="353"/>
      <c r="G24" s="354"/>
      <c r="I24" s="352" t="s">
        <v>117</v>
      </c>
      <c r="J24" s="353"/>
      <c r="K24" s="353"/>
      <c r="L24" s="353"/>
      <c r="M24" s="353"/>
      <c r="N24" s="354"/>
      <c r="P24" s="352" t="s">
        <v>117</v>
      </c>
      <c r="Q24" s="353"/>
      <c r="R24" s="353"/>
      <c r="S24" s="353"/>
      <c r="T24" s="353"/>
      <c r="U24" s="354"/>
      <c r="W24" s="352" t="s">
        <v>117</v>
      </c>
      <c r="X24" s="353"/>
      <c r="Y24" s="353"/>
      <c r="Z24" s="353"/>
      <c r="AA24" s="353"/>
      <c r="AB24" s="354"/>
      <c r="AD24" s="1"/>
      <c r="AE24" s="1"/>
      <c r="AF24" s="1"/>
      <c r="AG24" s="1"/>
      <c r="AH24" s="1"/>
      <c r="AI24" s="1"/>
      <c r="AK24" s="352" t="s">
        <v>117</v>
      </c>
      <c r="AL24" s="353"/>
      <c r="AM24" s="353"/>
      <c r="AN24" s="353"/>
      <c r="AO24" s="353"/>
      <c r="AP24" s="354"/>
    </row>
    <row r="25" spans="2:42" ht="15.75" thickTop="1" x14ac:dyDescent="0.25">
      <c r="B25" s="60" t="s">
        <v>58</v>
      </c>
      <c r="C25" s="361" t="s">
        <v>114</v>
      </c>
      <c r="D25" s="362"/>
      <c r="E25" s="362" t="s">
        <v>60</v>
      </c>
      <c r="F25" s="362"/>
      <c r="G25" s="363"/>
      <c r="I25" s="60" t="s">
        <v>58</v>
      </c>
      <c r="J25" s="110" t="s">
        <v>114</v>
      </c>
      <c r="K25" s="111"/>
      <c r="L25" s="111" t="s">
        <v>60</v>
      </c>
      <c r="M25" s="111"/>
      <c r="N25" s="112"/>
      <c r="O25" s="7"/>
      <c r="P25" s="60" t="s">
        <v>58</v>
      </c>
      <c r="Q25" s="110" t="s">
        <v>114</v>
      </c>
      <c r="R25" s="111"/>
      <c r="S25" s="111" t="s">
        <v>60</v>
      </c>
      <c r="T25" s="111"/>
      <c r="U25" s="112"/>
      <c r="W25" s="60" t="s">
        <v>109</v>
      </c>
      <c r="X25" s="361" t="s">
        <v>107</v>
      </c>
      <c r="Y25" s="362"/>
      <c r="Z25" s="362"/>
      <c r="AA25" s="362"/>
      <c r="AB25" s="363"/>
      <c r="AD25" s="1"/>
      <c r="AE25" s="1"/>
      <c r="AF25" s="1"/>
      <c r="AG25" s="1"/>
      <c r="AH25" s="1"/>
      <c r="AI25" s="1"/>
      <c r="AK25" s="60" t="s">
        <v>109</v>
      </c>
      <c r="AL25" s="361" t="s">
        <v>107</v>
      </c>
      <c r="AM25" s="362"/>
      <c r="AN25" s="362"/>
      <c r="AO25" s="362"/>
      <c r="AP25" s="363"/>
    </row>
    <row r="26" spans="2:42" ht="15.75" thickBot="1" x14ac:dyDescent="0.3">
      <c r="B26" s="61"/>
      <c r="C26" s="74">
        <f>+E26*0.9</f>
        <v>4.8419999999999996</v>
      </c>
      <c r="D26" s="75">
        <f>+E26*0.95</f>
        <v>5.1109999999999998</v>
      </c>
      <c r="E26" s="80">
        <f>+G5</f>
        <v>5.38</v>
      </c>
      <c r="F26" s="75">
        <f>+E26*1.05</f>
        <v>5.649</v>
      </c>
      <c r="G26" s="76">
        <f>+E26*1.1</f>
        <v>5.9180000000000001</v>
      </c>
      <c r="I26" s="61"/>
      <c r="J26" s="74">
        <f>+L26*0.9</f>
        <v>4.8419999999999996</v>
      </c>
      <c r="K26" s="75">
        <f>+L26*0.95</f>
        <v>5.1109999999999998</v>
      </c>
      <c r="L26" s="80">
        <f>+N5</f>
        <v>5.38</v>
      </c>
      <c r="M26" s="75">
        <f>+L26*1.05</f>
        <v>5.649</v>
      </c>
      <c r="N26" s="76">
        <f>+L26*1.1</f>
        <v>5.9180000000000001</v>
      </c>
      <c r="O26" s="9"/>
      <c r="P26" s="61"/>
      <c r="Q26" s="74">
        <f>+S26*0.9</f>
        <v>4.8419999999999996</v>
      </c>
      <c r="R26" s="75">
        <f>+S26*0.95</f>
        <v>5.1109999999999998</v>
      </c>
      <c r="S26" s="80">
        <f>+U5</f>
        <v>5.38</v>
      </c>
      <c r="T26" s="75">
        <f>+S26*1.05</f>
        <v>5.649</v>
      </c>
      <c r="U26" s="76">
        <f>+S26*1.1</f>
        <v>5.9180000000000001</v>
      </c>
      <c r="W26" s="61" t="s">
        <v>8</v>
      </c>
      <c r="X26" s="74">
        <v>0.44</v>
      </c>
      <c r="Y26" s="75">
        <f>+Z26*0.9</f>
        <v>0.58500000000000008</v>
      </c>
      <c r="Z26" s="90">
        <f>+'Wheat Graze Out'!N5</f>
        <v>0.65</v>
      </c>
      <c r="AA26" s="75">
        <v>0.7</v>
      </c>
      <c r="AB26" s="76">
        <v>0.8</v>
      </c>
      <c r="AD26" s="1"/>
      <c r="AE26" s="1"/>
      <c r="AF26" s="1"/>
      <c r="AG26" s="1"/>
      <c r="AH26" s="1"/>
      <c r="AI26" s="1"/>
      <c r="AK26" s="61" t="s">
        <v>8</v>
      </c>
      <c r="AL26" s="74">
        <v>0.44</v>
      </c>
      <c r="AM26" s="75">
        <v>0.5</v>
      </c>
      <c r="AN26" s="90">
        <v>0.55000000000000004</v>
      </c>
      <c r="AO26" s="75">
        <v>0.7</v>
      </c>
      <c r="AP26" s="76">
        <v>0.8</v>
      </c>
    </row>
    <row r="27" spans="2:42" ht="15.75" thickTop="1" x14ac:dyDescent="0.25">
      <c r="B27" s="62">
        <f>+B29*0.8</f>
        <v>32</v>
      </c>
      <c r="C27" s="63">
        <f t="shared" ref="C27:G31" si="0">+(C$26*$B27-$G$13-$G$17)</f>
        <v>-155.42387500000001</v>
      </c>
      <c r="D27" s="64">
        <f t="shared" si="0"/>
        <v>-146.81587500000001</v>
      </c>
      <c r="E27" s="64">
        <f t="shared" si="0"/>
        <v>-138.207875</v>
      </c>
      <c r="F27" s="64">
        <f t="shared" si="0"/>
        <v>-129.599875</v>
      </c>
      <c r="G27" s="65">
        <f t="shared" si="0"/>
        <v>-120.99187499999998</v>
      </c>
      <c r="I27" s="62">
        <f>+I29*0.8</f>
        <v>28</v>
      </c>
      <c r="J27" s="63">
        <f t="shared" ref="J27:N31" si="1">+(J$26*$I27+$N$8-$N$13-$N$17)</f>
        <v>-146.01209499999999</v>
      </c>
      <c r="K27" s="64">
        <f t="shared" si="1"/>
        <v>-138.48009500000001</v>
      </c>
      <c r="L27" s="64">
        <f t="shared" si="1"/>
        <v>-130.94809500000002</v>
      </c>
      <c r="M27" s="64">
        <f t="shared" si="1"/>
        <v>-123.416095</v>
      </c>
      <c r="N27" s="65">
        <f t="shared" si="1"/>
        <v>-115.88409499999999</v>
      </c>
      <c r="P27" s="62">
        <f>+P29*0.8</f>
        <v>28</v>
      </c>
      <c r="Q27" s="63">
        <f t="shared" ref="Q27:U31" si="2">+(Q$26*$P27*$U$6+$U$8-$U$13-$U$17)</f>
        <v>-142.35684499999996</v>
      </c>
      <c r="R27" s="64">
        <f t="shared" si="2"/>
        <v>-137.64934499999998</v>
      </c>
      <c r="S27" s="64">
        <f t="shared" si="2"/>
        <v>-132.941845</v>
      </c>
      <c r="T27" s="64">
        <f t="shared" si="2"/>
        <v>-128.23434499999996</v>
      </c>
      <c r="U27" s="65">
        <f t="shared" si="2"/>
        <v>-123.52684499999999</v>
      </c>
      <c r="W27" s="62">
        <f>+W29*0.9</f>
        <v>206.79000000000002</v>
      </c>
      <c r="X27" s="63">
        <f t="shared" ref="X27:AB31" si="3">+(X$26*$W27)-$AB$13-$AB$17</f>
        <v>-169.02614999999997</v>
      </c>
      <c r="Y27" s="64">
        <f t="shared" si="3"/>
        <v>-139.04159999999996</v>
      </c>
      <c r="Z27" s="64">
        <f t="shared" si="3"/>
        <v>-125.60024999999996</v>
      </c>
      <c r="AA27" s="64">
        <f t="shared" si="3"/>
        <v>-115.26074999999997</v>
      </c>
      <c r="AB27" s="65">
        <f t="shared" si="3"/>
        <v>-94.581749999999971</v>
      </c>
      <c r="AD27" s="1"/>
      <c r="AE27" s="1"/>
      <c r="AF27" s="1"/>
      <c r="AG27" s="1"/>
      <c r="AH27" s="1"/>
      <c r="AI27" s="1"/>
      <c r="AK27" s="62">
        <f>+AK29*0.9</f>
        <v>236.50006908679811</v>
      </c>
      <c r="AL27" s="63">
        <f t="shared" ref="AL27:AP31" si="4">+(AL$26*$AK27)-$AP$13-$AP$17</f>
        <v>-84.106844601808831</v>
      </c>
      <c r="AM27" s="64">
        <f t="shared" si="4"/>
        <v>-69.916840456600951</v>
      </c>
      <c r="AN27" s="64">
        <f t="shared" si="4"/>
        <v>-58.09183700226103</v>
      </c>
      <c r="AO27" s="64">
        <f t="shared" si="4"/>
        <v>-22.616826639241339</v>
      </c>
      <c r="AP27" s="65">
        <f t="shared" si="4"/>
        <v>1.0331802694385033</v>
      </c>
    </row>
    <row r="28" spans="2:42" ht="15.75" thickBot="1" x14ac:dyDescent="0.3">
      <c r="B28" s="66">
        <f>+B29*0.9</f>
        <v>36</v>
      </c>
      <c r="C28" s="67">
        <f t="shared" si="0"/>
        <v>-136.05587500000001</v>
      </c>
      <c r="D28" s="68">
        <f t="shared" si="0"/>
        <v>-126.371875</v>
      </c>
      <c r="E28" s="135">
        <f t="shared" si="0"/>
        <v>-116.68787499999998</v>
      </c>
      <c r="F28" s="68">
        <f t="shared" si="0"/>
        <v>-107.00387499999998</v>
      </c>
      <c r="G28" s="69">
        <f t="shared" si="0"/>
        <v>-97.319874999999982</v>
      </c>
      <c r="I28" s="66">
        <f>+I29*0.9</f>
        <v>31.5</v>
      </c>
      <c r="J28" s="67">
        <f t="shared" si="1"/>
        <v>-129.06509499999999</v>
      </c>
      <c r="K28" s="68">
        <f t="shared" si="1"/>
        <v>-120.591595</v>
      </c>
      <c r="L28" s="135">
        <f t="shared" si="1"/>
        <v>-112.118095</v>
      </c>
      <c r="M28" s="68">
        <f t="shared" si="1"/>
        <v>-103.644595</v>
      </c>
      <c r="N28" s="69">
        <f t="shared" si="1"/>
        <v>-95.171094999999994</v>
      </c>
      <c r="P28" s="66">
        <f>+P29*0.9</f>
        <v>31.5</v>
      </c>
      <c r="Q28" s="67">
        <f t="shared" si="2"/>
        <v>-131.76497000000001</v>
      </c>
      <c r="R28" s="68">
        <f t="shared" si="2"/>
        <v>-126.46903249999998</v>
      </c>
      <c r="S28" s="135">
        <f t="shared" si="2"/>
        <v>-121.173095</v>
      </c>
      <c r="T28" s="68">
        <f t="shared" si="2"/>
        <v>-115.8771575</v>
      </c>
      <c r="U28" s="69">
        <f t="shared" si="2"/>
        <v>-110.58121999999999</v>
      </c>
      <c r="W28" s="66">
        <f>+W29*0.95</f>
        <v>218.27833333333334</v>
      </c>
      <c r="X28" s="67">
        <f t="shared" si="3"/>
        <v>-163.9712833333333</v>
      </c>
      <c r="Y28" s="68">
        <f t="shared" si="3"/>
        <v>-132.32092499999999</v>
      </c>
      <c r="Z28" s="135">
        <f t="shared" si="3"/>
        <v>-118.13283333333331</v>
      </c>
      <c r="AA28" s="68">
        <f t="shared" si="3"/>
        <v>-107.21891666666667</v>
      </c>
      <c r="AB28" s="69">
        <f t="shared" si="3"/>
        <v>-85.391083333333313</v>
      </c>
      <c r="AD28" s="1"/>
      <c r="AE28" s="1"/>
      <c r="AF28" s="1"/>
      <c r="AG28" s="1"/>
      <c r="AH28" s="1"/>
      <c r="AI28" s="1"/>
      <c r="AK28" s="66">
        <f>+AK29*0.95</f>
        <v>249.63896181384243</v>
      </c>
      <c r="AL28" s="67">
        <f t="shared" si="4"/>
        <v>-78.325731801909342</v>
      </c>
      <c r="AM28" s="135">
        <f t="shared" si="4"/>
        <v>-63.34739409307879</v>
      </c>
      <c r="AN28" s="135">
        <f t="shared" si="4"/>
        <v>-50.865446002386648</v>
      </c>
      <c r="AO28" s="68">
        <f t="shared" si="4"/>
        <v>-13.419601730310319</v>
      </c>
      <c r="AP28" s="69">
        <f t="shared" si="4"/>
        <v>11.544294451073938</v>
      </c>
    </row>
    <row r="29" spans="2:42" ht="15.75" thickBot="1" x14ac:dyDescent="0.3">
      <c r="B29" s="81">
        <f>+G3</f>
        <v>40</v>
      </c>
      <c r="C29" s="67">
        <f t="shared" si="0"/>
        <v>-116.68787500000001</v>
      </c>
      <c r="D29" s="133">
        <f t="shared" si="0"/>
        <v>-105.92787499999999</v>
      </c>
      <c r="E29" s="137">
        <f t="shared" si="0"/>
        <v>-95.167874999999995</v>
      </c>
      <c r="F29" s="134">
        <f t="shared" si="0"/>
        <v>-84.407874999999976</v>
      </c>
      <c r="G29" s="69">
        <f t="shared" si="0"/>
        <v>-73.647874999999985</v>
      </c>
      <c r="I29" s="81">
        <f>+N3</f>
        <v>35</v>
      </c>
      <c r="J29" s="67">
        <f t="shared" si="1"/>
        <v>-112.118095</v>
      </c>
      <c r="K29" s="133">
        <f t="shared" si="1"/>
        <v>-102.703095</v>
      </c>
      <c r="L29" s="137">
        <f t="shared" si="1"/>
        <v>-93.288095000000013</v>
      </c>
      <c r="M29" s="134">
        <f t="shared" si="1"/>
        <v>-83.873094999999992</v>
      </c>
      <c r="N29" s="69">
        <f t="shared" si="1"/>
        <v>-74.458095</v>
      </c>
      <c r="P29" s="81">
        <f>+U3</f>
        <v>35</v>
      </c>
      <c r="Q29" s="67">
        <f t="shared" si="2"/>
        <v>-121.173095</v>
      </c>
      <c r="R29" s="133">
        <f t="shared" si="2"/>
        <v>-115.28872</v>
      </c>
      <c r="S29" s="137">
        <f t="shared" si="2"/>
        <v>-109.40434499999999</v>
      </c>
      <c r="T29" s="134">
        <f t="shared" si="2"/>
        <v>-103.51996999999999</v>
      </c>
      <c r="U29" s="69">
        <f t="shared" si="2"/>
        <v>-97.635594999999981</v>
      </c>
      <c r="W29" s="81">
        <f>+AB4</f>
        <v>229.76666666666668</v>
      </c>
      <c r="X29" s="67">
        <f t="shared" si="3"/>
        <v>-158.91641666666663</v>
      </c>
      <c r="Y29" s="133">
        <f t="shared" si="3"/>
        <v>-125.60024999999996</v>
      </c>
      <c r="Z29" s="137">
        <f t="shared" si="3"/>
        <v>-110.66541666666663</v>
      </c>
      <c r="AA29" s="134">
        <f t="shared" si="3"/>
        <v>-99.177083333333314</v>
      </c>
      <c r="AB29" s="69">
        <f t="shared" si="3"/>
        <v>-76.200416666666626</v>
      </c>
      <c r="AD29" s="1"/>
      <c r="AE29" s="1"/>
      <c r="AF29" s="1"/>
      <c r="AG29" s="1"/>
      <c r="AH29" s="1"/>
      <c r="AI29" s="1"/>
      <c r="AK29" s="81">
        <f>+AP4</f>
        <v>262.77785454088678</v>
      </c>
      <c r="AL29" s="138">
        <f t="shared" si="4"/>
        <v>-72.544619002009824</v>
      </c>
      <c r="AM29" s="139">
        <f t="shared" si="4"/>
        <v>-56.777947729556615</v>
      </c>
      <c r="AN29" s="137">
        <f t="shared" si="4"/>
        <v>-43.639055002512265</v>
      </c>
      <c r="AO29" s="134">
        <f t="shared" si="4"/>
        <v>-4.222376821379271</v>
      </c>
      <c r="AP29" s="69">
        <f t="shared" si="4"/>
        <v>22.05540863270943</v>
      </c>
    </row>
    <row r="30" spans="2:42" x14ac:dyDescent="0.25">
      <c r="B30" s="66">
        <f>+B29*1.1</f>
        <v>44</v>
      </c>
      <c r="C30" s="67">
        <f t="shared" si="0"/>
        <v>-97.31987500000001</v>
      </c>
      <c r="D30" s="68">
        <f t="shared" si="0"/>
        <v>-85.483874999999998</v>
      </c>
      <c r="E30" s="136">
        <f t="shared" si="0"/>
        <v>-73.647874999999985</v>
      </c>
      <c r="F30" s="68">
        <f t="shared" si="0"/>
        <v>-61.811874999999972</v>
      </c>
      <c r="G30" s="69">
        <f t="shared" si="0"/>
        <v>-49.975874999999988</v>
      </c>
      <c r="I30" s="66">
        <f>+I29*1.1</f>
        <v>38.5</v>
      </c>
      <c r="J30" s="67">
        <f t="shared" si="1"/>
        <v>-95.171095000000022</v>
      </c>
      <c r="K30" s="68">
        <f t="shared" si="1"/>
        <v>-84.814595000000011</v>
      </c>
      <c r="L30" s="136">
        <f t="shared" si="1"/>
        <v>-74.458095</v>
      </c>
      <c r="M30" s="68">
        <f t="shared" si="1"/>
        <v>-64.101595000000017</v>
      </c>
      <c r="N30" s="69">
        <f t="shared" si="1"/>
        <v>-53.745094999999978</v>
      </c>
      <c r="P30" s="66">
        <f>+P29*1.1</f>
        <v>38.5</v>
      </c>
      <c r="Q30" s="67">
        <f t="shared" si="2"/>
        <v>-110.58122000000002</v>
      </c>
      <c r="R30" s="68">
        <f t="shared" si="2"/>
        <v>-104.10840750000001</v>
      </c>
      <c r="S30" s="136">
        <f t="shared" si="2"/>
        <v>-97.635594999999981</v>
      </c>
      <c r="T30" s="68">
        <f t="shared" si="2"/>
        <v>-91.162782499999977</v>
      </c>
      <c r="U30" s="69">
        <f t="shared" si="2"/>
        <v>-84.689969999999974</v>
      </c>
      <c r="W30" s="66">
        <f>+W29*1.05</f>
        <v>241.25500000000002</v>
      </c>
      <c r="X30" s="67">
        <f t="shared" si="3"/>
        <v>-153.86154999999997</v>
      </c>
      <c r="Y30" s="68">
        <f t="shared" si="3"/>
        <v>-118.87957499999996</v>
      </c>
      <c r="Z30" s="136">
        <f t="shared" si="3"/>
        <v>-103.19799999999998</v>
      </c>
      <c r="AA30" s="68">
        <f t="shared" si="3"/>
        <v>-91.135249999999985</v>
      </c>
      <c r="AB30" s="69">
        <f t="shared" si="3"/>
        <v>-67.009749999999968</v>
      </c>
      <c r="AD30" s="1"/>
      <c r="AE30" s="1"/>
      <c r="AF30" s="1"/>
      <c r="AG30" s="1"/>
      <c r="AH30" s="1"/>
      <c r="AI30" s="1"/>
      <c r="AK30" s="66">
        <f>+AK29*1.05</f>
        <v>275.91674726793116</v>
      </c>
      <c r="AL30" s="67">
        <f t="shared" si="4"/>
        <v>-66.763506202110293</v>
      </c>
      <c r="AM30" s="136">
        <f t="shared" si="4"/>
        <v>-50.208501366034426</v>
      </c>
      <c r="AN30" s="136">
        <f t="shared" si="4"/>
        <v>-36.412664002637854</v>
      </c>
      <c r="AO30" s="68">
        <f t="shared" si="4"/>
        <v>4.9748480875518055</v>
      </c>
      <c r="AP30" s="69">
        <f t="shared" si="4"/>
        <v>32.566522814344921</v>
      </c>
    </row>
    <row r="31" spans="2:42" ht="15.75" thickBot="1" x14ac:dyDescent="0.3">
      <c r="B31" s="70">
        <f>+B29*1.2</f>
        <v>48</v>
      </c>
      <c r="C31" s="71">
        <f t="shared" si="0"/>
        <v>-77.951874999999987</v>
      </c>
      <c r="D31" s="72">
        <f t="shared" si="0"/>
        <v>-65.039875000000009</v>
      </c>
      <c r="E31" s="72">
        <f t="shared" si="0"/>
        <v>-52.127874999999975</v>
      </c>
      <c r="F31" s="72">
        <f t="shared" si="0"/>
        <v>-39.215874999999997</v>
      </c>
      <c r="G31" s="73">
        <f t="shared" si="0"/>
        <v>-26.303874999999962</v>
      </c>
      <c r="I31" s="70">
        <f>+I29*1.2</f>
        <v>42</v>
      </c>
      <c r="J31" s="71">
        <f t="shared" si="1"/>
        <v>-78.22409500000002</v>
      </c>
      <c r="K31" s="72">
        <f t="shared" si="1"/>
        <v>-66.926095000000018</v>
      </c>
      <c r="L31" s="72">
        <f t="shared" si="1"/>
        <v>-55.628094999999959</v>
      </c>
      <c r="M31" s="72">
        <f t="shared" si="1"/>
        <v>-44.330094999999957</v>
      </c>
      <c r="N31" s="73">
        <f t="shared" si="1"/>
        <v>-33.032094999999956</v>
      </c>
      <c r="P31" s="70">
        <f>+P29*1.2</f>
        <v>42</v>
      </c>
      <c r="Q31" s="71">
        <f t="shared" si="2"/>
        <v>-99.989345</v>
      </c>
      <c r="R31" s="72">
        <f t="shared" si="2"/>
        <v>-92.928094999999999</v>
      </c>
      <c r="S31" s="72">
        <f t="shared" si="2"/>
        <v>-85.866844999999998</v>
      </c>
      <c r="T31" s="72">
        <f t="shared" si="2"/>
        <v>-78.805594999999997</v>
      </c>
      <c r="U31" s="73">
        <f t="shared" si="2"/>
        <v>-71.744344999999996</v>
      </c>
      <c r="W31" s="70">
        <f>+W30*1.1</f>
        <v>265.38050000000004</v>
      </c>
      <c r="X31" s="71">
        <f t="shared" si="3"/>
        <v>-143.24632999999997</v>
      </c>
      <c r="Y31" s="72">
        <f t="shared" si="3"/>
        <v>-104.76615749999993</v>
      </c>
      <c r="Z31" s="72">
        <f t="shared" si="3"/>
        <v>-87.516424999999941</v>
      </c>
      <c r="AA31" s="72">
        <f t="shared" si="3"/>
        <v>-74.247399999999971</v>
      </c>
      <c r="AB31" s="73">
        <f t="shared" si="3"/>
        <v>-47.709349999999944</v>
      </c>
      <c r="AD31" s="1"/>
      <c r="AE31" s="1"/>
      <c r="AF31" s="1"/>
      <c r="AG31" s="1"/>
      <c r="AH31" s="1"/>
      <c r="AI31" s="1"/>
      <c r="AK31" s="70">
        <f>+AK30*1.1</f>
        <v>303.5084219947243</v>
      </c>
      <c r="AL31" s="71">
        <f t="shared" si="4"/>
        <v>-54.623169322321303</v>
      </c>
      <c r="AM31" s="72">
        <f t="shared" si="4"/>
        <v>-36.412664002637854</v>
      </c>
      <c r="AN31" s="72">
        <f t="shared" si="4"/>
        <v>-21.237242902901613</v>
      </c>
      <c r="AO31" s="72">
        <f t="shared" si="4"/>
        <v>24.289020396306995</v>
      </c>
      <c r="AP31" s="73">
        <f t="shared" si="4"/>
        <v>54.639862595779448</v>
      </c>
    </row>
    <row r="32" spans="2:42" ht="16.5" thickTop="1" thickBot="1" x14ac:dyDescent="0.3">
      <c r="AD32" s="1"/>
      <c r="AE32" s="1"/>
      <c r="AF32" s="1"/>
      <c r="AG32" s="1"/>
      <c r="AH32" s="1"/>
      <c r="AI32" s="1"/>
    </row>
    <row r="33" spans="2:42" ht="16.5" thickTop="1" thickBot="1" x14ac:dyDescent="0.3">
      <c r="B33" s="352" t="s">
        <v>113</v>
      </c>
      <c r="C33" s="353"/>
      <c r="D33" s="353"/>
      <c r="E33" s="353"/>
      <c r="F33" s="353"/>
      <c r="G33" s="354"/>
      <c r="I33" s="352" t="s">
        <v>113</v>
      </c>
      <c r="J33" s="353"/>
      <c r="K33" s="353"/>
      <c r="L33" s="353"/>
      <c r="M33" s="353"/>
      <c r="N33" s="354"/>
      <c r="P33" s="352" t="s">
        <v>113</v>
      </c>
      <c r="Q33" s="353"/>
      <c r="R33" s="353"/>
      <c r="S33" s="353"/>
      <c r="T33" s="353"/>
      <c r="U33" s="354"/>
      <c r="W33" s="352" t="s">
        <v>113</v>
      </c>
      <c r="X33" s="353"/>
      <c r="Y33" s="353"/>
      <c r="Z33" s="353"/>
      <c r="AA33" s="353"/>
      <c r="AB33" s="354"/>
      <c r="AD33" s="1"/>
      <c r="AE33" s="1"/>
      <c r="AF33" s="1"/>
      <c r="AG33" s="1"/>
      <c r="AH33" s="1"/>
      <c r="AI33" s="1"/>
      <c r="AK33" s="352" t="s">
        <v>113</v>
      </c>
      <c r="AL33" s="353"/>
      <c r="AM33" s="353"/>
      <c r="AN33" s="353"/>
      <c r="AO33" s="353"/>
      <c r="AP33" s="354"/>
    </row>
    <row r="34" spans="2:42" ht="15.75" thickTop="1" x14ac:dyDescent="0.25">
      <c r="B34" s="60" t="s">
        <v>58</v>
      </c>
      <c r="C34" s="355" t="s">
        <v>114</v>
      </c>
      <c r="D34" s="356"/>
      <c r="E34" s="356" t="s">
        <v>60</v>
      </c>
      <c r="F34" s="356"/>
      <c r="G34" s="357"/>
      <c r="I34" s="60" t="s">
        <v>58</v>
      </c>
      <c r="J34" s="355" t="s">
        <v>114</v>
      </c>
      <c r="K34" s="356"/>
      <c r="L34" s="356" t="s">
        <v>60</v>
      </c>
      <c r="M34" s="356"/>
      <c r="N34" s="357"/>
      <c r="P34" s="60" t="s">
        <v>58</v>
      </c>
      <c r="Q34" s="355" t="s">
        <v>114</v>
      </c>
      <c r="R34" s="356"/>
      <c r="S34" s="356" t="s">
        <v>60</v>
      </c>
      <c r="T34" s="356"/>
      <c r="U34" s="357"/>
      <c r="W34" s="60" t="s">
        <v>109</v>
      </c>
      <c r="X34" s="355" t="s">
        <v>107</v>
      </c>
      <c r="Y34" s="356"/>
      <c r="Z34" s="356"/>
      <c r="AA34" s="356"/>
      <c r="AB34" s="357"/>
      <c r="AD34" s="1"/>
      <c r="AE34" s="1"/>
      <c r="AF34" s="1"/>
      <c r="AG34" s="1"/>
      <c r="AH34" s="1"/>
      <c r="AI34" s="1"/>
      <c r="AK34" s="60" t="s">
        <v>109</v>
      </c>
      <c r="AL34" s="355" t="s">
        <v>107</v>
      </c>
      <c r="AM34" s="356"/>
      <c r="AN34" s="356"/>
      <c r="AO34" s="356"/>
      <c r="AP34" s="357"/>
    </row>
    <row r="35" spans="2:42" ht="15.75" thickBot="1" x14ac:dyDescent="0.3">
      <c r="B35" s="61"/>
      <c r="C35" s="118">
        <f>+E35*0.9</f>
        <v>4.8419999999999996</v>
      </c>
      <c r="D35" s="119">
        <f>+E35*0.95</f>
        <v>5.1109999999999998</v>
      </c>
      <c r="E35" s="120">
        <f>+E26</f>
        <v>5.38</v>
      </c>
      <c r="F35" s="119">
        <f>+E35*1.05</f>
        <v>5.649</v>
      </c>
      <c r="G35" s="121">
        <f>+E35*1.1</f>
        <v>5.9180000000000001</v>
      </c>
      <c r="I35" s="61"/>
      <c r="J35" s="118">
        <f>+L35*0.9</f>
        <v>4.8419999999999996</v>
      </c>
      <c r="K35" s="119">
        <f>+L35*0.95</f>
        <v>5.1109999999999998</v>
      </c>
      <c r="L35" s="120">
        <f>+L26</f>
        <v>5.38</v>
      </c>
      <c r="M35" s="119">
        <f>+L35*1.05</f>
        <v>5.649</v>
      </c>
      <c r="N35" s="121">
        <f>+L35*1.1</f>
        <v>5.9180000000000001</v>
      </c>
      <c r="P35" s="61"/>
      <c r="Q35" s="118">
        <f>+S35*0.9</f>
        <v>4.8419999999999996</v>
      </c>
      <c r="R35" s="119">
        <f>+S35*0.95</f>
        <v>5.1109999999999998</v>
      </c>
      <c r="S35" s="120">
        <f>+S26</f>
        <v>5.38</v>
      </c>
      <c r="T35" s="119">
        <f>+S35*1.05</f>
        <v>5.649</v>
      </c>
      <c r="U35" s="121">
        <f>+S35*1.1</f>
        <v>5.9180000000000001</v>
      </c>
      <c r="W35" s="61" t="s">
        <v>8</v>
      </c>
      <c r="X35" s="118">
        <f>+Z35*0.8</f>
        <v>0.52</v>
      </c>
      <c r="Y35" s="119">
        <f>+Z35*0.9</f>
        <v>0.58500000000000008</v>
      </c>
      <c r="Z35" s="158">
        <f>+Z26</f>
        <v>0.65</v>
      </c>
      <c r="AA35" s="119">
        <f>+AA26</f>
        <v>0.7</v>
      </c>
      <c r="AB35" s="121">
        <f>+AB26</f>
        <v>0.8</v>
      </c>
      <c r="AD35" s="1"/>
      <c r="AE35" s="1"/>
      <c r="AF35" s="1"/>
      <c r="AG35" s="1"/>
      <c r="AH35" s="1"/>
      <c r="AI35" s="1"/>
      <c r="AK35" s="61" t="s">
        <v>8</v>
      </c>
      <c r="AL35" s="118">
        <f>+AL26</f>
        <v>0.44</v>
      </c>
      <c r="AM35" s="119">
        <f>+AN35*0.9</f>
        <v>0.49500000000000005</v>
      </c>
      <c r="AN35" s="120">
        <f>+AN26</f>
        <v>0.55000000000000004</v>
      </c>
      <c r="AO35" s="119">
        <f>+AO26</f>
        <v>0.7</v>
      </c>
      <c r="AP35" s="121">
        <f>+AP26</f>
        <v>0.8</v>
      </c>
    </row>
    <row r="36" spans="2:42" ht="15.75" thickTop="1" x14ac:dyDescent="0.25">
      <c r="B36" s="114">
        <f>+B38*0.8</f>
        <v>32</v>
      </c>
      <c r="C36" s="140">
        <f>+(C$26*$B36-$G$13-$G$17)+'Wheat Grain'!$G$37+'Wheat Grain'!$G$42</f>
        <v>-130.76387500000001</v>
      </c>
      <c r="D36" s="141">
        <f>+(D$26*$B36-$G$13-$G$17)+'Wheat Grain'!$G$37+'Wheat Grain'!$G$42</f>
        <v>-122.15587500000001</v>
      </c>
      <c r="E36" s="141">
        <f>+(E$26*$B36-$G$13-$G$17)+'Wheat Grain'!$G$37+'Wheat Grain'!$G$42</f>
        <v>-113.547875</v>
      </c>
      <c r="F36" s="141">
        <f>+(F$26*$B36-$G$13-$G$17)+'Wheat Grain'!$G$37+'Wheat Grain'!$G$42</f>
        <v>-104.939875</v>
      </c>
      <c r="G36" s="142">
        <f>+(G$26*$B36-$G$13-$G$17)+'Wheat Grain'!$G$37+'Wheat Grain'!$G$42</f>
        <v>-96.331874999999982</v>
      </c>
      <c r="I36" s="114">
        <f>+I38*0.8</f>
        <v>28</v>
      </c>
      <c r="J36" s="140">
        <f>+(J$26*$I36+$N$8-$N$13-$N$17)+'Wheat Dual  ~700Lb'!$G$37+'Wheat Dual  ~700Lb'!$G$42</f>
        <v>-121.35209499999999</v>
      </c>
      <c r="K36" s="141">
        <f>+(K$26*$I36+$N$8-$N$13-$N$17)+'Wheat Dual  ~700Lb'!$G$37+'Wheat Dual  ~700Lb'!$G$42</f>
        <v>-113.82009500000001</v>
      </c>
      <c r="L36" s="141">
        <f>+(L$26*$I36+$N$8-$N$13-$N$17)+'Wheat Dual  ~700Lb'!$G$37+'Wheat Dual  ~700Lb'!$G$42</f>
        <v>-106.28809500000003</v>
      </c>
      <c r="M36" s="141">
        <f>+(M$26*$I36+$N$8-$N$13-$N$17)+'Wheat Dual  ~700Lb'!$G$37+'Wheat Dual  ~700Lb'!$G$42</f>
        <v>-98.756095000000002</v>
      </c>
      <c r="N36" s="142">
        <f>+(N$26*$I36+$N$8-$N$13-$N$17)+'Wheat Dual  ~700Lb'!$G$37+'Wheat Dual  ~700Lb'!$G$42</f>
        <v>-91.224094999999991</v>
      </c>
      <c r="P36" s="114">
        <f>+P38*0.8</f>
        <v>28</v>
      </c>
      <c r="Q36" s="140">
        <f>+(Q$26*$P36*$U$6+$U$8-$U$13-$U$17)+'Wheat Dual ~800Lb'!$G$37+'Wheat Dual ~800Lb'!$G$42</f>
        <v>-117.69684499999997</v>
      </c>
      <c r="R36" s="141">
        <f>+(R$26*$P36*$U$6+$U$8-$U$13-$U$17)+'Wheat Dual ~800Lb'!$G$37+'Wheat Dual ~800Lb'!$G$42</f>
        <v>-112.98934499999999</v>
      </c>
      <c r="S36" s="141">
        <f>+(S$26*$P36*$U$6+$U$8-$U$13-$U$17)+'Wheat Dual ~800Lb'!$G$37+'Wheat Dual ~800Lb'!$G$42</f>
        <v>-108.281845</v>
      </c>
      <c r="T36" s="141">
        <f>+(T$26*$P36*$U$6+$U$8-$U$13-$U$17)+'Wheat Dual ~800Lb'!$G$37+'Wheat Dual ~800Lb'!$G$42</f>
        <v>-103.57434499999997</v>
      </c>
      <c r="U36" s="142">
        <f>+(U$26*$P36*$U$6+$U$8-$U$13-$U$17)+'Wheat Dual ~800Lb'!$G$37+'Wheat Dual ~800Lb'!$G$42</f>
        <v>-98.866844999999998</v>
      </c>
      <c r="W36" s="114">
        <f>+W38*0.9</f>
        <v>206.79000000000002</v>
      </c>
      <c r="X36" s="140">
        <f>+(X$26*$W36)-$AB$13-$AB$17+'Wheat Graze Out'!$G$37+'Wheat Graze Out'!$G$42</f>
        <v>-157.82614999999998</v>
      </c>
      <c r="Y36" s="141">
        <f>+(Y$26*$W36)-$AB$13-$AB$17+'Wheat Graze Out'!$G$37+'Wheat Graze Out'!$G$42</f>
        <v>-127.84159999999996</v>
      </c>
      <c r="Z36" s="141">
        <f>+(Z$26*$W36)-$AB$13-$AB$17+'Wheat Graze Out'!$G$37+'Wheat Graze Out'!$G$42</f>
        <v>-114.40024999999996</v>
      </c>
      <c r="AA36" s="141">
        <f>+(AA$26*$W36)-$AB$13-$AB$17+'Wheat Graze Out'!$G$37+'Wheat Graze Out'!$G$42</f>
        <v>-104.06074999999997</v>
      </c>
      <c r="AB36" s="142">
        <f>+(AB$26*$W36)-$AB$13-$AB$17+'Wheat Graze Out'!$G$37+'Wheat Graze Out'!$G$42</f>
        <v>-83.381749999999968</v>
      </c>
      <c r="AD36" s="1"/>
      <c r="AE36" s="1"/>
      <c r="AF36" s="1"/>
      <c r="AG36" s="1"/>
      <c r="AH36" s="1"/>
      <c r="AI36" s="1"/>
      <c r="AK36" s="114">
        <f>+AK38*0.9</f>
        <v>236.50006908679811</v>
      </c>
      <c r="AL36" s="140">
        <f>+'Wheat Farm Margins'!AL36</f>
        <v>-69.166844601808833</v>
      </c>
      <c r="AM36" s="141">
        <f>+'Wheat Farm Margins'!AM36</f>
        <v>-54.976840456600947</v>
      </c>
      <c r="AN36" s="141">
        <f>+'Wheat Farm Margins'!AN36</f>
        <v>-43.151837002261026</v>
      </c>
      <c r="AO36" s="141">
        <f>+'Wheat Farm Margins'!AO36</f>
        <v>-7.6768266392413391</v>
      </c>
      <c r="AP36" s="142">
        <f>+'Wheat Farm Margins'!AP36</f>
        <v>15.973180269438503</v>
      </c>
    </row>
    <row r="37" spans="2:42" ht="15.75" thickBot="1" x14ac:dyDescent="0.3">
      <c r="B37" s="115">
        <f>+B38*0.9</f>
        <v>36</v>
      </c>
      <c r="C37" s="143">
        <f>+(C$26*$B37-$G$13-$G$17)+'Wheat Grain'!$G$37+'Wheat Grain'!$G$42</f>
        <v>-111.39587500000002</v>
      </c>
      <c r="D37" s="144">
        <f>+(D$26*$B37-$G$13-$G$17)+'Wheat Grain'!$G$37+'Wheat Grain'!$G$42</f>
        <v>-101.71187500000001</v>
      </c>
      <c r="E37" s="152">
        <f>+(E$26*$B37-$G$13-$G$17)+'Wheat Grain'!$G$37+'Wheat Grain'!$G$42</f>
        <v>-92.02787499999998</v>
      </c>
      <c r="F37" s="144">
        <f>+(F$26*$B37-$G$13-$G$17)+'Wheat Grain'!$G$37+'Wheat Grain'!$G$42</f>
        <v>-82.343874999999983</v>
      </c>
      <c r="G37" s="145">
        <f>+(G$26*$B37-$G$13-$G$17)+'Wheat Grain'!$G$37+'Wheat Grain'!$G$42</f>
        <v>-72.659874999999985</v>
      </c>
      <c r="I37" s="115">
        <f>+I38*0.9</f>
        <v>31.5</v>
      </c>
      <c r="J37" s="143">
        <f>+(J$26*$I37+$N$8-$N$13-$N$17)+'Wheat Dual  ~700Lb'!$G$37+'Wheat Dual  ~700Lb'!$G$42</f>
        <v>-104.40509499999999</v>
      </c>
      <c r="K37" s="144">
        <f>+(K$26*$I37+$N$8-$N$13-$N$17)+'Wheat Dual  ~700Lb'!$G$37+'Wheat Dual  ~700Lb'!$G$42</f>
        <v>-95.931595000000002</v>
      </c>
      <c r="L37" s="152">
        <f>+(L$26*$I37+$N$8-$N$13-$N$17)+'Wheat Dual  ~700Lb'!$G$37+'Wheat Dual  ~700Lb'!$G$42</f>
        <v>-87.458095</v>
      </c>
      <c r="M37" s="144">
        <f>+(M$26*$I37+$N$8-$N$13-$N$17)+'Wheat Dual  ~700Lb'!$G$37+'Wheat Dual  ~700Lb'!$G$42</f>
        <v>-78.984594999999999</v>
      </c>
      <c r="N37" s="145">
        <f>+(N$26*$I37+$N$8-$N$13-$N$17)+'Wheat Dual  ~700Lb'!$G$37+'Wheat Dual  ~700Lb'!$G$42</f>
        <v>-70.511094999999997</v>
      </c>
      <c r="P37" s="115">
        <f>+P38*0.9</f>
        <v>31.5</v>
      </c>
      <c r="Q37" s="143">
        <f>+(Q$26*$P37*$U$6+$U$8-$U$13-$U$17)+'Wheat Dual ~800Lb'!$G$37+'Wheat Dual ~800Lb'!$G$42</f>
        <v>-107.10497000000001</v>
      </c>
      <c r="R37" s="144">
        <f>+(R$26*$P37*$U$6+$U$8-$U$13-$U$17)+'Wheat Dual ~800Lb'!$G$37+'Wheat Dual ~800Lb'!$G$42</f>
        <v>-101.80903249999999</v>
      </c>
      <c r="S37" s="152">
        <f>+(S$26*$P37*$U$6+$U$8-$U$13-$U$17)+'Wheat Dual ~800Lb'!$G$37+'Wheat Dual ~800Lb'!$G$42</f>
        <v>-96.513095000000007</v>
      </c>
      <c r="T37" s="144">
        <f>+(T$26*$P37*$U$6+$U$8-$U$13-$U$17)+'Wheat Dual ~800Lb'!$G$37+'Wheat Dual ~800Lb'!$G$42</f>
        <v>-91.217157499999999</v>
      </c>
      <c r="U37" s="145">
        <f>+(U$26*$P37*$U$6+$U$8-$U$13-$U$17)+'Wheat Dual ~800Lb'!$G$37+'Wheat Dual ~800Lb'!$G$42</f>
        <v>-85.921219999999991</v>
      </c>
      <c r="W37" s="115">
        <f>+W38*0.95</f>
        <v>218.27833333333334</v>
      </c>
      <c r="X37" s="143">
        <f>+(X$26*$W37)-$AB$13-$AB$17+'Wheat Graze Out'!$G$37+'Wheat Graze Out'!$G$42</f>
        <v>-152.77128333333332</v>
      </c>
      <c r="Y37" s="152">
        <f>+(Y$26*$W37)-$AB$13-$AB$17+'Wheat Graze Out'!$G$37+'Wheat Graze Out'!$G$42</f>
        <v>-121.12092499999999</v>
      </c>
      <c r="Z37" s="152">
        <f>+(Z$26*$W37)-$AB$13-$AB$17+'Wheat Graze Out'!$G$37+'Wheat Graze Out'!$G$42</f>
        <v>-106.93283333333331</v>
      </c>
      <c r="AA37" s="144">
        <f>+(AA$26*$W37)-$AB$13-$AB$17+'Wheat Graze Out'!$G$37+'Wheat Graze Out'!$G$42</f>
        <v>-96.018916666666669</v>
      </c>
      <c r="AB37" s="145">
        <f>+(AB$26*$W37)-$AB$13-$AB$17+'Wheat Graze Out'!$G$37+'Wheat Graze Out'!$G$42</f>
        <v>-74.19108333333331</v>
      </c>
      <c r="AD37" s="1"/>
      <c r="AE37" s="1"/>
      <c r="AF37" s="1"/>
      <c r="AG37" s="1"/>
      <c r="AH37" s="1"/>
      <c r="AI37" s="1"/>
      <c r="AK37" s="115">
        <f>+AK38*0.95</f>
        <v>249.63896181384243</v>
      </c>
      <c r="AL37" s="143">
        <f>+'Wheat Farm Margins'!AL37</f>
        <v>-63.385731801909337</v>
      </c>
      <c r="AM37" s="144">
        <f>+'Wheat Farm Margins'!AM37</f>
        <v>-48.407394093078786</v>
      </c>
      <c r="AN37" s="152">
        <f>+'Wheat Farm Margins'!AN37</f>
        <v>-35.925446002386643</v>
      </c>
      <c r="AO37" s="144">
        <f>+'Wheat Farm Margins'!AO37</f>
        <v>1.5203982696896805</v>
      </c>
      <c r="AP37" s="145">
        <f>+'Wheat Farm Margins'!AP37</f>
        <v>26.484294451073936</v>
      </c>
    </row>
    <row r="38" spans="2:42" ht="15.75" thickBot="1" x14ac:dyDescent="0.3">
      <c r="B38" s="116">
        <f>+B29</f>
        <v>40</v>
      </c>
      <c r="C38" s="143">
        <f>+(C$26*$B38-$G$13-$G$17)+'Wheat Grain'!$G$37+'Wheat Grain'!$G$42</f>
        <v>-92.027875000000009</v>
      </c>
      <c r="D38" s="149">
        <f>+(D$26*$B38-$G$13-$G$17)+'Wheat Grain'!$G$37+'Wheat Grain'!$G$42</f>
        <v>-81.267874999999989</v>
      </c>
      <c r="E38" s="137">
        <f>+(E$26*$B38-$G$13-$G$17)+'Wheat Grain'!$G$37+'Wheat Grain'!$G$42</f>
        <v>-70.507874999999999</v>
      </c>
      <c r="F38" s="151">
        <f>+(F$26*$B38-$G$13-$G$17)+'Wheat Grain'!$G$37+'Wheat Grain'!$G$42</f>
        <v>-59.747874999999979</v>
      </c>
      <c r="G38" s="145">
        <f>+(G$26*$B38-$G$13-$G$17)+'Wheat Grain'!$G$37+'Wheat Grain'!$G$42</f>
        <v>-48.987874999999988</v>
      </c>
      <c r="I38" s="116">
        <f>+I29</f>
        <v>35</v>
      </c>
      <c r="J38" s="143">
        <f>+(J$26*$I38+$N$8-$N$13-$N$17)+'Wheat Dual  ~700Lb'!$G$37+'Wheat Dual  ~700Lb'!$G$42</f>
        <v>-87.458095</v>
      </c>
      <c r="K38" s="149">
        <f>+(K$26*$I38+$N$8-$N$13-$N$17)+'Wheat Dual  ~700Lb'!$G$37+'Wheat Dual  ~700Lb'!$G$42</f>
        <v>-78.043095000000008</v>
      </c>
      <c r="L38" s="137">
        <f>+(L$26*$I38+$N$8-$N$13-$N$17)+'Wheat Dual  ~700Lb'!$G$37+'Wheat Dual  ~700Lb'!$G$42</f>
        <v>-68.628095000000016</v>
      </c>
      <c r="M38" s="151">
        <f>+(M$26*$I38+$N$8-$N$13-$N$17)+'Wheat Dual  ~700Lb'!$G$37+'Wheat Dual  ~700Lb'!$G$42</f>
        <v>-59.213094999999996</v>
      </c>
      <c r="N38" s="145">
        <f>+(N$26*$I38+$N$8-$N$13-$N$17)+'Wheat Dual  ~700Lb'!$G$37+'Wheat Dual  ~700Lb'!$G$42</f>
        <v>-49.798095000000004</v>
      </c>
      <c r="P38" s="116">
        <f>+P29</f>
        <v>35</v>
      </c>
      <c r="Q38" s="143">
        <f>+(Q$26*$P38*$U$6+$U$8-$U$13-$U$17)+'Wheat Dual ~800Lb'!$G$37+'Wheat Dual ~800Lb'!$G$42</f>
        <v>-96.513095000000007</v>
      </c>
      <c r="R38" s="149">
        <f>+(R$26*$P38*$U$6+$U$8-$U$13-$U$17)+'Wheat Dual ~800Lb'!$G$37+'Wheat Dual ~800Lb'!$G$42</f>
        <v>-90.628720000000001</v>
      </c>
      <c r="S38" s="137">
        <f>+(S$26*$P38*$U$6+$U$8-$U$13-$U$17)+'Wheat Dual ~800Lb'!$G$37+'Wheat Dual ~800Lb'!$G$42</f>
        <v>-84.744344999999996</v>
      </c>
      <c r="T38" s="151">
        <f>+(T$26*$P38*$U$6+$U$8-$U$13-$U$17)+'Wheat Dual ~800Lb'!$G$37+'Wheat Dual ~800Lb'!$G$42</f>
        <v>-78.85996999999999</v>
      </c>
      <c r="U38" s="145">
        <f>+(U$26*$P38*$U$6+$U$8-$U$13-$U$17)+'Wheat Dual ~800Lb'!$G$37+'Wheat Dual ~800Lb'!$G$42</f>
        <v>-72.975594999999984</v>
      </c>
      <c r="W38" s="116">
        <f>+W29</f>
        <v>229.76666666666668</v>
      </c>
      <c r="X38" s="150">
        <f>+(X$26*$W38)-$AB$13-$AB$17+'Wheat Graze Out'!$G$37+'Wheat Graze Out'!$G$42</f>
        <v>-147.71641666666665</v>
      </c>
      <c r="Y38" s="154">
        <f>+(Y$26*$W38)-$AB$13-$AB$17+'Wheat Graze Out'!$G$37+'Wheat Graze Out'!$G$42</f>
        <v>-114.40024999999996</v>
      </c>
      <c r="Z38" s="137">
        <f>+(Z$26*$W38)-$AB$13-$AB$17+'Wheat Graze Out'!$G$37+'Wheat Graze Out'!$G$42</f>
        <v>-99.465416666666627</v>
      </c>
      <c r="AA38" s="151">
        <f>+(AA$26*$W38)-$AB$13-$AB$17+'Wheat Graze Out'!$G$37+'Wheat Graze Out'!$G$42</f>
        <v>-87.977083333333312</v>
      </c>
      <c r="AB38" s="145">
        <f>+(AB$26*$W38)-$AB$13-$AB$17+'Wheat Graze Out'!$G$37+'Wheat Graze Out'!$G$42</f>
        <v>-65.000416666666624</v>
      </c>
      <c r="AD38" s="1"/>
      <c r="AE38" s="1"/>
      <c r="AF38" s="1"/>
      <c r="AG38" s="1"/>
      <c r="AH38" s="1"/>
      <c r="AI38" s="1"/>
      <c r="AK38" s="116">
        <f>+AK29</f>
        <v>262.77785454088678</v>
      </c>
      <c r="AL38" s="143">
        <f>+'Wheat Farm Margins'!AL38</f>
        <v>-57.604619002009819</v>
      </c>
      <c r="AM38" s="149">
        <f>+'Wheat Farm Margins'!AM38</f>
        <v>-41.83794772955661</v>
      </c>
      <c r="AN38" s="137">
        <f>+'Wheat Farm Margins'!AN38</f>
        <v>-28.69905500251226</v>
      </c>
      <c r="AO38" s="151">
        <f>+'Wheat Farm Margins'!AO38</f>
        <v>10.717623178620729</v>
      </c>
      <c r="AP38" s="145">
        <f>+'Wheat Farm Margins'!AP38</f>
        <v>36.995408632709434</v>
      </c>
    </row>
    <row r="39" spans="2:42" x14ac:dyDescent="0.25">
      <c r="B39" s="115">
        <f>+B38*1.1</f>
        <v>44</v>
      </c>
      <c r="C39" s="143">
        <f>+(C$26*$B39-$G$13-$G$17)+'Wheat Grain'!$G$37+'Wheat Grain'!$G$42</f>
        <v>-72.659875000000014</v>
      </c>
      <c r="D39" s="144">
        <f>+(D$26*$B39-$G$13-$G$17)+'Wheat Grain'!$G$37+'Wheat Grain'!$G$42</f>
        <v>-60.823875000000001</v>
      </c>
      <c r="E39" s="153">
        <f>+(E$26*$B39-$G$13-$G$17)+'Wheat Grain'!$G$37+'Wheat Grain'!$G$42</f>
        <v>-48.987874999999988</v>
      </c>
      <c r="F39" s="144">
        <f>+(F$26*$B39-$G$13-$G$17)+'Wheat Grain'!$G$37+'Wheat Grain'!$G$42</f>
        <v>-37.151874999999976</v>
      </c>
      <c r="G39" s="145">
        <f>+(G$26*$B39-$G$13-$G$17)+'Wheat Grain'!$G$37+'Wheat Grain'!$G$42</f>
        <v>-25.315874999999988</v>
      </c>
      <c r="I39" s="115">
        <f>+I38*1.1</f>
        <v>38.5</v>
      </c>
      <c r="J39" s="143">
        <f>+(J$26*$I39+$N$8-$N$13-$N$17)+'Wheat Dual  ~700Lb'!$G$37+'Wheat Dual  ~700Lb'!$G$42</f>
        <v>-70.511095000000026</v>
      </c>
      <c r="K39" s="144">
        <f>+(K$26*$I39+$N$8-$N$13-$N$17)+'Wheat Dual  ~700Lb'!$G$37+'Wheat Dual  ~700Lb'!$G$42</f>
        <v>-60.154595000000015</v>
      </c>
      <c r="L39" s="153">
        <f>+(L$26*$I39+$N$8-$N$13-$N$17)+'Wheat Dual  ~700Lb'!$G$37+'Wheat Dual  ~700Lb'!$G$42</f>
        <v>-49.798095000000004</v>
      </c>
      <c r="M39" s="144">
        <f>+(M$26*$I39+$N$8-$N$13-$N$17)+'Wheat Dual  ~700Lb'!$G$37+'Wheat Dual  ~700Lb'!$G$42</f>
        <v>-39.441595000000021</v>
      </c>
      <c r="N39" s="145">
        <f>+(N$26*$I39+$N$8-$N$13-$N$17)+'Wheat Dual  ~700Lb'!$G$37+'Wheat Dual  ~700Lb'!$G$42</f>
        <v>-29.085094999999978</v>
      </c>
      <c r="P39" s="115">
        <f>+P38*1.1</f>
        <v>38.5</v>
      </c>
      <c r="Q39" s="143">
        <f>+(Q$26*$P39*$U$6+$U$8-$U$13-$U$17)+'Wheat Dual ~800Lb'!$G$37+'Wheat Dual ~800Lb'!$G$42</f>
        <v>-85.921220000000019</v>
      </c>
      <c r="R39" s="144">
        <f>+(R$26*$P39*$U$6+$U$8-$U$13-$U$17)+'Wheat Dual ~800Lb'!$G$37+'Wheat Dual ~800Lb'!$G$42</f>
        <v>-79.448407500000016</v>
      </c>
      <c r="S39" s="153">
        <f>+(S$26*$P39*$U$6+$U$8-$U$13-$U$17)+'Wheat Dual ~800Lb'!$G$37+'Wheat Dual ~800Lb'!$G$42</f>
        <v>-72.975594999999984</v>
      </c>
      <c r="T39" s="144">
        <f>+(T$26*$P39*$U$6+$U$8-$U$13-$U$17)+'Wheat Dual ~800Lb'!$G$37+'Wheat Dual ~800Lb'!$G$42</f>
        <v>-66.502782499999981</v>
      </c>
      <c r="U39" s="145">
        <f>+(U$26*$P39*$U$6+$U$8-$U$13-$U$17)+'Wheat Dual ~800Lb'!$G$37+'Wheat Dual ~800Lb'!$G$42</f>
        <v>-60.029969999999977</v>
      </c>
      <c r="W39" s="115">
        <f>+W38*1.05</f>
        <v>241.25500000000002</v>
      </c>
      <c r="X39" s="143">
        <f>+(X$26*$W39)-$AB$13-$AB$17+'Wheat Graze Out'!$G$37+'Wheat Graze Out'!$G$42</f>
        <v>-142.66154999999998</v>
      </c>
      <c r="Y39" s="153">
        <f>+(Y$26*$W39)-$AB$13-$AB$17+'Wheat Graze Out'!$G$37+'Wheat Graze Out'!$G$42</f>
        <v>-107.67957499999996</v>
      </c>
      <c r="Z39" s="153">
        <f>+(Z$26*$W39)-$AB$13-$AB$17+'Wheat Graze Out'!$G$37+'Wheat Graze Out'!$G$42</f>
        <v>-91.997999999999976</v>
      </c>
      <c r="AA39" s="144">
        <f>+(AA$26*$W39)-$AB$13-$AB$17+'Wheat Graze Out'!$G$37+'Wheat Graze Out'!$G$42</f>
        <v>-79.935249999999982</v>
      </c>
      <c r="AB39" s="145">
        <f>+(AB$26*$W39)-$AB$13-$AB$17+'Wheat Graze Out'!$G$37+'Wheat Graze Out'!$G$42</f>
        <v>-55.809749999999966</v>
      </c>
      <c r="AD39" s="1"/>
      <c r="AE39" s="1"/>
      <c r="AF39" s="1"/>
      <c r="AG39" s="1"/>
      <c r="AH39" s="1"/>
      <c r="AI39" s="1"/>
      <c r="AK39" s="115">
        <f>+AK38*1.05</f>
        <v>275.91674726793116</v>
      </c>
      <c r="AL39" s="143">
        <f>+'Wheat Farm Margins'!AL39</f>
        <v>-51.823506202110288</v>
      </c>
      <c r="AM39" s="144">
        <f>+'Wheat Farm Margins'!AM39</f>
        <v>-35.268501366034421</v>
      </c>
      <c r="AN39" s="153">
        <f>+'Wheat Farm Margins'!AN39</f>
        <v>-21.472664002637856</v>
      </c>
      <c r="AO39" s="144">
        <f>+'Wheat Farm Margins'!AO39</f>
        <v>19.914848087551803</v>
      </c>
      <c r="AP39" s="145">
        <f>+'Wheat Farm Margins'!AP39</f>
        <v>47.506522814344926</v>
      </c>
    </row>
    <row r="40" spans="2:42" ht="15.75" thickBot="1" x14ac:dyDescent="0.3">
      <c r="B40" s="117">
        <f>+B38*1.2</f>
        <v>48</v>
      </c>
      <c r="C40" s="146">
        <f>+(C$26*$B40-$G$13-$G$17)+'Wheat Grain'!$G$37+'Wheat Grain'!$G$42</f>
        <v>-53.29187499999999</v>
      </c>
      <c r="D40" s="147">
        <f>+(D$26*$B40-$G$13-$G$17)+'Wheat Grain'!$G$37+'Wheat Grain'!$G$42</f>
        <v>-40.379875000000013</v>
      </c>
      <c r="E40" s="147">
        <f>+(E$26*$B40-$G$13-$G$17)+'Wheat Grain'!$G$37+'Wheat Grain'!$G$42</f>
        <v>-27.467874999999975</v>
      </c>
      <c r="F40" s="147">
        <f>+(F$26*$B40-$G$13-$G$17)+'Wheat Grain'!$G$37+'Wheat Grain'!$G$42</f>
        <v>-14.555874999999997</v>
      </c>
      <c r="G40" s="148">
        <f>+(G$26*$B40-$G$13-$G$17)+'Wheat Grain'!$G$37+'Wheat Grain'!$G$42</f>
        <v>-1.6438749999999622</v>
      </c>
      <c r="I40" s="117">
        <f>+I38*1.2</f>
        <v>42</v>
      </c>
      <c r="J40" s="146">
        <f>+(J$26*$I40+$N$8-$N$13-$N$17)+'Wheat Dual  ~700Lb'!$G$37+'Wheat Dual  ~700Lb'!$G$42</f>
        <v>-53.564095000000023</v>
      </c>
      <c r="K40" s="147">
        <f>+(K$26*$I40+$N$8-$N$13-$N$17)+'Wheat Dual  ~700Lb'!$G$37+'Wheat Dual  ~700Lb'!$G$42</f>
        <v>-42.266095000000021</v>
      </c>
      <c r="L40" s="147">
        <f>+(L$26*$I40+$N$8-$N$13-$N$17)+'Wheat Dual  ~700Lb'!$G$37+'Wheat Dual  ~700Lb'!$G$42</f>
        <v>-30.968094999999959</v>
      </c>
      <c r="M40" s="147">
        <f>+(M$26*$I40+$N$8-$N$13-$N$17)+'Wheat Dual  ~700Lb'!$G$37+'Wheat Dual  ~700Lb'!$G$42</f>
        <v>-19.670094999999957</v>
      </c>
      <c r="N40" s="148">
        <f>+(N$26*$I40+$N$8-$N$13-$N$17)+'Wheat Dual  ~700Lb'!$G$37+'Wheat Dual  ~700Lb'!$G$42</f>
        <v>-8.3720949999999554</v>
      </c>
      <c r="P40" s="117">
        <f>+P38*1.2</f>
        <v>42</v>
      </c>
      <c r="Q40" s="146">
        <f>+(Q$26*$P40*$U$6+$U$8-$U$13-$U$17)+'Wheat Dual ~800Lb'!$G$37+'Wheat Dual ~800Lb'!$G$42</f>
        <v>-75.329345000000004</v>
      </c>
      <c r="R40" s="147">
        <f>+(R$26*$P40*$U$6+$U$8-$U$13-$U$17)+'Wheat Dual ~800Lb'!$G$37+'Wheat Dual ~800Lb'!$G$42</f>
        <v>-68.268095000000002</v>
      </c>
      <c r="S40" s="147">
        <f>+(S$26*$P40*$U$6+$U$8-$U$13-$U$17)+'Wheat Dual ~800Lb'!$G$37+'Wheat Dual ~800Lb'!$G$42</f>
        <v>-61.206845000000001</v>
      </c>
      <c r="T40" s="147">
        <f>+(T$26*$P40*$U$6+$U$8-$U$13-$U$17)+'Wheat Dual ~800Lb'!$G$37+'Wheat Dual ~800Lb'!$G$42</f>
        <v>-54.145595</v>
      </c>
      <c r="U40" s="148">
        <f>+(U$26*$P40*$U$6+$U$8-$U$13-$U$17)+'Wheat Dual ~800Lb'!$G$37+'Wheat Dual ~800Lb'!$G$42</f>
        <v>-47.084344999999999</v>
      </c>
      <c r="W40" s="117">
        <f>+W39*1.1</f>
        <v>265.38050000000004</v>
      </c>
      <c r="X40" s="146">
        <f>+(X$26*$W40)-$AB$13-$AB$17+'Wheat Graze Out'!$G$37+'Wheat Graze Out'!$G$42</f>
        <v>-132.04632999999998</v>
      </c>
      <c r="Y40" s="147">
        <f>+(Y$26*$W40)-$AB$13-$AB$17+'Wheat Graze Out'!$G$37+'Wheat Graze Out'!$G$42</f>
        <v>-93.566157499999932</v>
      </c>
      <c r="Z40" s="147">
        <f>+(Z$26*$W40)-$AB$13-$AB$17+'Wheat Graze Out'!$G$37+'Wheat Graze Out'!$G$42</f>
        <v>-76.316424999999938</v>
      </c>
      <c r="AA40" s="147">
        <f>+(AA$26*$W40)-$AB$13-$AB$17+'Wheat Graze Out'!$G$37+'Wheat Graze Out'!$G$42</f>
        <v>-63.047399999999968</v>
      </c>
      <c r="AB40" s="148">
        <f>+(AB$26*$W40)-$AB$13-$AB$17+'Wheat Graze Out'!$G$37+'Wheat Graze Out'!$G$42</f>
        <v>-36.509349999999941</v>
      </c>
      <c r="AD40" s="1"/>
      <c r="AE40" s="1"/>
      <c r="AF40" s="1"/>
      <c r="AG40" s="1"/>
      <c r="AH40" s="1"/>
      <c r="AI40" s="1"/>
      <c r="AK40" s="117">
        <f>+AK39*1.1</f>
        <v>303.5084219947243</v>
      </c>
      <c r="AL40" s="146">
        <f>+'Wheat Farm Margins'!AL40</f>
        <v>-39.683169322321298</v>
      </c>
      <c r="AM40" s="147">
        <f>+'Wheat Farm Margins'!AM40</f>
        <v>-21.472664002637856</v>
      </c>
      <c r="AN40" s="147">
        <f>+'Wheat Farm Margins'!AN40</f>
        <v>-6.2972429029016137</v>
      </c>
      <c r="AO40" s="147">
        <f>+'Wheat Farm Margins'!AO40</f>
        <v>39.229020396307</v>
      </c>
      <c r="AP40" s="148">
        <f>+'Wheat Farm Margins'!AP40</f>
        <v>69.579862595779446</v>
      </c>
    </row>
    <row r="41" spans="2:42" ht="16.5" thickTop="1" thickBot="1" x14ac:dyDescent="0.3">
      <c r="B41" s="92"/>
      <c r="C41" s="91"/>
      <c r="D41" s="91"/>
      <c r="E41" s="91"/>
      <c r="F41" s="91"/>
      <c r="G41" s="91"/>
      <c r="I41" s="92"/>
      <c r="J41" s="91"/>
      <c r="K41" s="91"/>
      <c r="L41" s="91"/>
      <c r="M41" s="91"/>
      <c r="N41" s="91"/>
      <c r="P41" s="92"/>
      <c r="Q41" s="91"/>
      <c r="R41" s="91"/>
      <c r="S41" s="91"/>
      <c r="T41" s="91"/>
      <c r="U41" s="91"/>
      <c r="W41" s="92"/>
      <c r="X41" s="91"/>
      <c r="Y41" s="91"/>
      <c r="Z41" s="91"/>
      <c r="AA41" s="91"/>
      <c r="AB41" s="91"/>
      <c r="AD41" s="1"/>
      <c r="AE41" s="1"/>
      <c r="AF41" s="1"/>
      <c r="AG41" s="1"/>
      <c r="AH41" s="1"/>
      <c r="AI41" s="1"/>
      <c r="AK41" s="92"/>
      <c r="AL41" s="91"/>
      <c r="AM41" s="91"/>
      <c r="AN41" s="91"/>
      <c r="AO41" s="91"/>
      <c r="AP41" s="91"/>
    </row>
    <row r="42" spans="2:42" ht="16.5" thickTop="1" thickBot="1" x14ac:dyDescent="0.3">
      <c r="B42" s="352" t="s">
        <v>118</v>
      </c>
      <c r="C42" s="353"/>
      <c r="D42" s="353"/>
      <c r="E42" s="353"/>
      <c r="F42" s="353"/>
      <c r="G42" s="354"/>
      <c r="I42" s="352" t="s">
        <v>116</v>
      </c>
      <c r="J42" s="353"/>
      <c r="K42" s="353"/>
      <c r="L42" s="353"/>
      <c r="M42" s="353"/>
      <c r="N42" s="354"/>
      <c r="P42" s="352" t="s">
        <v>116</v>
      </c>
      <c r="Q42" s="353"/>
      <c r="R42" s="353"/>
      <c r="S42" s="353"/>
      <c r="T42" s="353"/>
      <c r="U42" s="354"/>
      <c r="W42" s="352" t="s">
        <v>116</v>
      </c>
      <c r="X42" s="353"/>
      <c r="Y42" s="353"/>
      <c r="Z42" s="353"/>
      <c r="AA42" s="353"/>
      <c r="AB42" s="354"/>
      <c r="AD42" s="1"/>
      <c r="AE42" s="1"/>
      <c r="AF42" s="1"/>
      <c r="AG42" s="1"/>
      <c r="AH42" s="1"/>
      <c r="AI42" s="1"/>
      <c r="AK42" s="352" t="s">
        <v>116</v>
      </c>
      <c r="AL42" s="353"/>
      <c r="AM42" s="353"/>
      <c r="AN42" s="353"/>
      <c r="AO42" s="353"/>
      <c r="AP42" s="354"/>
    </row>
    <row r="43" spans="2:42" ht="15.75" thickTop="1" x14ac:dyDescent="0.25">
      <c r="B43" s="60" t="s">
        <v>58</v>
      </c>
      <c r="C43" s="355" t="s">
        <v>114</v>
      </c>
      <c r="D43" s="356"/>
      <c r="E43" s="356" t="s">
        <v>60</v>
      </c>
      <c r="F43" s="356"/>
      <c r="G43" s="357"/>
      <c r="I43" s="60" t="s">
        <v>58</v>
      </c>
      <c r="J43" s="355" t="s">
        <v>114</v>
      </c>
      <c r="K43" s="356"/>
      <c r="L43" s="356" t="s">
        <v>60</v>
      </c>
      <c r="M43" s="356"/>
      <c r="N43" s="357"/>
      <c r="P43" s="60" t="s">
        <v>58</v>
      </c>
      <c r="Q43" s="355" t="s">
        <v>114</v>
      </c>
      <c r="R43" s="356"/>
      <c r="S43" s="356" t="s">
        <v>60</v>
      </c>
      <c r="T43" s="356"/>
      <c r="U43" s="357"/>
      <c r="W43" s="60" t="s">
        <v>109</v>
      </c>
      <c r="X43" s="355" t="s">
        <v>107</v>
      </c>
      <c r="Y43" s="356"/>
      <c r="Z43" s="356"/>
      <c r="AA43" s="356"/>
      <c r="AB43" s="357"/>
      <c r="AD43" s="1"/>
      <c r="AE43" s="1"/>
      <c r="AF43" s="1"/>
      <c r="AG43" s="1"/>
      <c r="AH43" s="1"/>
      <c r="AI43" s="1"/>
      <c r="AK43" s="60" t="s">
        <v>109</v>
      </c>
      <c r="AL43" s="355" t="s">
        <v>107</v>
      </c>
      <c r="AM43" s="356"/>
      <c r="AN43" s="356"/>
      <c r="AO43" s="356"/>
      <c r="AP43" s="357"/>
    </row>
    <row r="44" spans="2:42" ht="15.75" thickBot="1" x14ac:dyDescent="0.3">
      <c r="B44" s="61"/>
      <c r="C44" s="74">
        <f>+E44*0.9</f>
        <v>4.8419999999999996</v>
      </c>
      <c r="D44" s="75">
        <f>+E44*0.95</f>
        <v>5.1109999999999998</v>
      </c>
      <c r="E44" s="80">
        <f>+E35</f>
        <v>5.38</v>
      </c>
      <c r="F44" s="75">
        <f>+E44*1.05</f>
        <v>5.649</v>
      </c>
      <c r="G44" s="76">
        <f>+E44*1.1</f>
        <v>5.9180000000000001</v>
      </c>
      <c r="I44" s="61"/>
      <c r="J44" s="74">
        <f>+L44*0.9</f>
        <v>4.8419999999999996</v>
      </c>
      <c r="K44" s="75">
        <f>+L44*0.95</f>
        <v>5.1109999999999998</v>
      </c>
      <c r="L44" s="80">
        <f>+L35</f>
        <v>5.38</v>
      </c>
      <c r="M44" s="75">
        <f>+L44*1.05</f>
        <v>5.649</v>
      </c>
      <c r="N44" s="76">
        <f>+L44*1.1</f>
        <v>5.9180000000000001</v>
      </c>
      <c r="P44" s="61"/>
      <c r="Q44" s="74">
        <f>+S44*0.9</f>
        <v>4.8419999999999996</v>
      </c>
      <c r="R44" s="75">
        <f>+S44*0.95</f>
        <v>5.1109999999999998</v>
      </c>
      <c r="S44" s="80">
        <f>+S35</f>
        <v>5.38</v>
      </c>
      <c r="T44" s="75">
        <f>+S44*1.05</f>
        <v>5.649</v>
      </c>
      <c r="U44" s="76">
        <f>+S44*1.1</f>
        <v>5.9180000000000001</v>
      </c>
      <c r="W44" s="61" t="s">
        <v>8</v>
      </c>
      <c r="X44" s="74">
        <f>+X26</f>
        <v>0.44</v>
      </c>
      <c r="Y44" s="75">
        <f>+Y26</f>
        <v>0.58500000000000008</v>
      </c>
      <c r="Z44" s="90">
        <f>+Z35</f>
        <v>0.65</v>
      </c>
      <c r="AA44" s="75">
        <f>+AA26</f>
        <v>0.7</v>
      </c>
      <c r="AB44" s="76">
        <f>+AB26</f>
        <v>0.8</v>
      </c>
      <c r="AD44" s="1"/>
      <c r="AE44" s="1"/>
      <c r="AF44" s="1"/>
      <c r="AG44" s="1"/>
      <c r="AH44" s="1"/>
      <c r="AI44" s="1"/>
      <c r="AK44" s="61" t="s">
        <v>8</v>
      </c>
      <c r="AL44" s="74">
        <f>+AL35</f>
        <v>0.44</v>
      </c>
      <c r="AM44" s="75">
        <f>+AM35</f>
        <v>0.49500000000000005</v>
      </c>
      <c r="AN44" s="80">
        <f>+AN35</f>
        <v>0.55000000000000004</v>
      </c>
      <c r="AO44" s="75">
        <f>+AO35</f>
        <v>0.7</v>
      </c>
      <c r="AP44" s="76">
        <f>+AP35</f>
        <v>0.8</v>
      </c>
    </row>
    <row r="45" spans="2:42" ht="15.75" thickTop="1" x14ac:dyDescent="0.25">
      <c r="B45" s="62">
        <f>+B47*0.8</f>
        <v>32</v>
      </c>
      <c r="C45" s="63">
        <f>+(C$26*$B45-$G$13-$G$17)+'Wheat Grain'!$G$37+'Wheat Grain'!$G$42+$G$12-$G$51</f>
        <v>-97.363875000000021</v>
      </c>
      <c r="D45" s="64">
        <f>+(D$26*$B45-$G$13-$G$17)+'Wheat Grain'!$G$37+'Wheat Grain'!$G$42+$G$12-$G$51</f>
        <v>-88.755875000000017</v>
      </c>
      <c r="E45" s="64">
        <f>+(E$26*$B45-$G$13-$G$17)+'Wheat Grain'!$G$37+'Wheat Grain'!$G$42+$G$12-$G$51</f>
        <v>-80.147874999999999</v>
      </c>
      <c r="F45" s="64">
        <f>+(F$26*$B45-$G$13-$G$17)+'Wheat Grain'!$G$37+'Wheat Grain'!$G$42+$G$12-$G$51</f>
        <v>-71.539874999999995</v>
      </c>
      <c r="G45" s="65">
        <f>+(G$26*$B45-$G$13-$G$17)+'Wheat Grain'!$G$37+'Wheat Grain'!$G$42+$G$12-$G$51</f>
        <v>-62.931874999999977</v>
      </c>
      <c r="I45" s="62">
        <f>+I47*0.8</f>
        <v>28</v>
      </c>
      <c r="J45" s="63">
        <f>+(J$26*$I45+$N$8-$N$13-$N$17)+'Wheat Dual  ~700Lb'!$G$37+'Wheat Dual  ~700Lb'!$G$42+$N$12-$N$51</f>
        <v>-87.952095</v>
      </c>
      <c r="K45" s="64">
        <f>+(K$26*$I45+$N$8-$N$13-$N$17)+'Wheat Dual  ~700Lb'!$G$37+'Wheat Dual  ~700Lb'!$G$42+$N$12-$N$51</f>
        <v>-80.420095000000018</v>
      </c>
      <c r="L45" s="64">
        <f>+(L$26*$I45+$N$8-$N$13-$N$17)+'Wheat Dual  ~700Lb'!$G$37+'Wheat Dual  ~700Lb'!$G$42+$N$12-$N$51</f>
        <v>-72.888095000000021</v>
      </c>
      <c r="M45" s="64">
        <f>+(M$26*$I45+$N$8-$N$13-$N$17)+'Wheat Dual  ~700Lb'!$G$37+'Wheat Dual  ~700Lb'!$G$42+$N$12-$N$51</f>
        <v>-65.356094999999996</v>
      </c>
      <c r="N45" s="65">
        <f>+(N$26*$I45+$N$8-$N$13-$N$17)+'Wheat Dual  ~700Lb'!$G$37+'Wheat Dual  ~700Lb'!$G$42+$N$12-$N$51</f>
        <v>-57.824094999999986</v>
      </c>
      <c r="P45" s="62">
        <f>+P47*0.8</f>
        <v>28</v>
      </c>
      <c r="Q45" s="63">
        <f>+(Q$26*$P45*$U$6+$U$8-$U$13-$U$17)+'Wheat Dual ~800Lb'!$G$37+'Wheat Dual ~800Lb'!$G$42+$U$12-$U$51*$U$6</f>
        <v>-96.821844999999968</v>
      </c>
      <c r="R45" s="64">
        <f>+(R$26*$P45*$U$6+$U$8-$U$13-$U$17)+'Wheat Dual ~800Lb'!$G$37+'Wheat Dual ~800Lb'!$G$42+$U$12-$U$51*$U$6</f>
        <v>-92.114344999999986</v>
      </c>
      <c r="S45" s="64">
        <f>+(S$26*$P45*$U$6+$U$8-$U$13-$U$17)+'Wheat Dual ~800Lb'!$G$37+'Wheat Dual ~800Lb'!$G$42+$U$12-$U$51*$U$6</f>
        <v>-87.406845000000004</v>
      </c>
      <c r="T45" s="64">
        <f>+(T$26*$P45*$U$6+$U$8-$U$13-$U$17)+'Wheat Dual ~800Lb'!$G$37+'Wheat Dual ~800Lb'!$G$42+$U$12-$U$51*$U$6</f>
        <v>-82.699344999999965</v>
      </c>
      <c r="U45" s="65">
        <f>+(U$26*$P45*$U$6+$U$8-$U$13-$U$17)+'Wheat Dual ~800Lb'!$G$37+'Wheat Dual ~800Lb'!$G$42+$U$12-$U$51*$U$6</f>
        <v>-77.991844999999998</v>
      </c>
      <c r="W45" s="62">
        <f>+W47*0.9</f>
        <v>206.79000000000002</v>
      </c>
      <c r="X45" s="63">
        <f>+(X$26*$W45)-$AB$13-$AB$17+'Wheat Graze Out'!$G$37+'Wheat Graze Out'!$G$42</f>
        <v>-157.82614999999998</v>
      </c>
      <c r="Y45" s="64">
        <f>+(Y$26*$W45)-$AB$13-$AB$17+'Wheat Graze Out'!$G$37+'Wheat Graze Out'!$G$42</f>
        <v>-127.84159999999996</v>
      </c>
      <c r="Z45" s="64">
        <f>+(Z$26*$W45)-$AB$13-$AB$17+'Wheat Graze Out'!$G$37+'Wheat Graze Out'!$G$42</f>
        <v>-114.40024999999996</v>
      </c>
      <c r="AA45" s="64">
        <f>+(AA$26*$W45)-$AB$13-$AB$17+'Wheat Graze Out'!$G$37+'Wheat Graze Out'!$G$42</f>
        <v>-104.06074999999997</v>
      </c>
      <c r="AB45" s="65">
        <f>+(AB$26*$W45)-$AB$13-$AB$17+'Wheat Graze Out'!$G$37+'Wheat Graze Out'!$G$42</f>
        <v>-83.381749999999968</v>
      </c>
      <c r="AD45" s="1"/>
      <c r="AE45" s="1"/>
      <c r="AF45" s="1"/>
      <c r="AG45" s="1"/>
      <c r="AH45" s="1"/>
      <c r="AI45" s="1"/>
      <c r="AK45" s="62">
        <f>+AK47*0.9</f>
        <v>236.50006908679811</v>
      </c>
      <c r="AL45" s="63">
        <f>+AL36</f>
        <v>-69.166844601808833</v>
      </c>
      <c r="AM45" s="64">
        <f t="shared" ref="AM45:AP45" si="5">+AM36</f>
        <v>-54.976840456600947</v>
      </c>
      <c r="AN45" s="64">
        <f t="shared" si="5"/>
        <v>-43.151837002261026</v>
      </c>
      <c r="AO45" s="64">
        <f t="shared" si="5"/>
        <v>-7.6768266392413391</v>
      </c>
      <c r="AP45" s="65">
        <f t="shared" si="5"/>
        <v>15.973180269438503</v>
      </c>
    </row>
    <row r="46" spans="2:42" ht="15.75" thickBot="1" x14ac:dyDescent="0.3">
      <c r="B46" s="66">
        <f>+B47*0.9</f>
        <v>36</v>
      </c>
      <c r="C46" s="67">
        <f>+(C$26*$B46-$G$13-$G$17)+'Wheat Grain'!$G$37+'Wheat Grain'!$G$42+$G$12-$G$51</f>
        <v>-77.995875000000012</v>
      </c>
      <c r="D46" s="68">
        <f>+(D$26*$B46-$G$13-$G$17)+'Wheat Grain'!$G$37+'Wheat Grain'!$G$42+$G$12-$G$51</f>
        <v>-68.311875000000001</v>
      </c>
      <c r="E46" s="135">
        <f>+(E$26*$B46-$G$13-$G$17)+'Wheat Grain'!$G$37+'Wheat Grain'!$G$42+$G$12-$G$51</f>
        <v>-58.627874999999975</v>
      </c>
      <c r="F46" s="68">
        <f>+(F$26*$B46-$G$13-$G$17)+'Wheat Grain'!$G$37+'Wheat Grain'!$G$42+$G$12-$G$51</f>
        <v>-48.943874999999977</v>
      </c>
      <c r="G46" s="69">
        <f>+(G$26*$B46-$G$13-$G$17)+'Wheat Grain'!$G$37+'Wheat Grain'!$G$42+$G$12-$G$51</f>
        <v>-39.25987499999998</v>
      </c>
      <c r="I46" s="66">
        <f>+I47*0.9</f>
        <v>31.5</v>
      </c>
      <c r="J46" s="67">
        <f>+(J$26*$I46+$N$8-$N$13-$N$17)+'Wheat Dual  ~700Lb'!$G$37+'Wheat Dual  ~700Lb'!$G$42+$N$12-$N$51</f>
        <v>-71.005094999999983</v>
      </c>
      <c r="K46" s="68">
        <f>+(K$26*$I46+$N$8-$N$13-$N$17)+'Wheat Dual  ~700Lb'!$G$37+'Wheat Dual  ~700Lb'!$G$42+$N$12-$N$51</f>
        <v>-62.531594999999996</v>
      </c>
      <c r="L46" s="135">
        <f>+(L$26*$I46+$N$8-$N$13-$N$17)+'Wheat Dual  ~700Lb'!$G$37+'Wheat Dual  ~700Lb'!$G$42+$N$12-$N$51</f>
        <v>-54.058094999999994</v>
      </c>
      <c r="M46" s="68">
        <f>+(M$26*$I46+$N$8-$N$13-$N$17)+'Wheat Dual  ~700Lb'!$G$37+'Wheat Dual  ~700Lb'!$G$42+$N$12-$N$51</f>
        <v>-45.584594999999993</v>
      </c>
      <c r="N46" s="69">
        <f>+(N$26*$I46+$N$8-$N$13-$N$17)+'Wheat Dual  ~700Lb'!$G$37+'Wheat Dual  ~700Lb'!$G$42+$N$12-$N$51</f>
        <v>-37.111094999999992</v>
      </c>
      <c r="P46" s="66">
        <f>+P47*0.9</f>
        <v>31.5</v>
      </c>
      <c r="Q46" s="67">
        <f>+(Q$26*$P46*$U$6+$U$8-$U$13-$U$17)+'Wheat Dual ~800Lb'!$G$37+'Wheat Dual ~800Lb'!$G$42+$U$12-$U$51*$U$6</f>
        <v>-86.229970000000009</v>
      </c>
      <c r="R46" s="68">
        <f>+(R$26*$P46*$U$6+$U$8-$U$13-$U$17)+'Wheat Dual ~800Lb'!$G$37+'Wheat Dual ~800Lb'!$G$42+$U$12-$U$51*$U$6</f>
        <v>-80.934032499999986</v>
      </c>
      <c r="S46" s="135">
        <f>+(S$26*$P46*$U$6+$U$8-$U$13-$U$17)+'Wheat Dual ~800Lb'!$G$37+'Wheat Dual ~800Lb'!$G$42+$U$12-$U$51*$U$6</f>
        <v>-75.638095000000007</v>
      </c>
      <c r="T46" s="68">
        <f>+(T$26*$P46*$U$6+$U$8-$U$13-$U$17)+'Wheat Dual ~800Lb'!$G$37+'Wheat Dual ~800Lb'!$G$42+$U$12-$U$51*$U$6</f>
        <v>-70.342157499999999</v>
      </c>
      <c r="U46" s="69">
        <f>+(U$26*$P46*$U$6+$U$8-$U$13-$U$17)+'Wheat Dual ~800Lb'!$G$37+'Wheat Dual ~800Lb'!$G$42+$U$12-$U$51*$U$6</f>
        <v>-65.046219999999991</v>
      </c>
      <c r="W46" s="66">
        <f>+W47*0.95</f>
        <v>218.27833333333334</v>
      </c>
      <c r="X46" s="67">
        <f>+(X$26*$W46)-$AB$13-$AB$17+'Wheat Graze Out'!$G$37+'Wheat Graze Out'!$G$42</f>
        <v>-152.77128333333332</v>
      </c>
      <c r="Y46" s="68">
        <f>+(Y$26*$W46)-$AB$13-$AB$17+'Wheat Graze Out'!$G$37+'Wheat Graze Out'!$G$42</f>
        <v>-121.12092499999999</v>
      </c>
      <c r="Z46" s="135">
        <f>+(Z$26*$W46)-$AB$13-$AB$17+'Wheat Graze Out'!$G$37+'Wheat Graze Out'!$G$42</f>
        <v>-106.93283333333331</v>
      </c>
      <c r="AA46" s="68">
        <f>+(AA$26*$W46)-$AB$13-$AB$17+'Wheat Graze Out'!$G$37+'Wheat Graze Out'!$G$42</f>
        <v>-96.018916666666669</v>
      </c>
      <c r="AB46" s="69">
        <f>+(AB$26*$W46)-$AB$13-$AB$17+'Wheat Graze Out'!$G$37+'Wheat Graze Out'!$G$42</f>
        <v>-74.19108333333331</v>
      </c>
      <c r="AD46" s="1"/>
      <c r="AE46" s="1"/>
      <c r="AF46" s="1"/>
      <c r="AG46" s="1"/>
      <c r="AH46" s="1"/>
      <c r="AI46" s="1"/>
      <c r="AK46" s="66">
        <f>+AK47*0.95</f>
        <v>249.63896181384243</v>
      </c>
      <c r="AL46" s="67">
        <f t="shared" ref="AL46:AP49" si="6">+AL37</f>
        <v>-63.385731801909337</v>
      </c>
      <c r="AM46" s="68">
        <f t="shared" si="6"/>
        <v>-48.407394093078786</v>
      </c>
      <c r="AN46" s="135">
        <f t="shared" si="6"/>
        <v>-35.925446002386643</v>
      </c>
      <c r="AO46" s="68">
        <f t="shared" si="6"/>
        <v>1.5203982696896805</v>
      </c>
      <c r="AP46" s="69">
        <f t="shared" si="6"/>
        <v>26.484294451073936</v>
      </c>
    </row>
    <row r="47" spans="2:42" ht="15.75" thickBot="1" x14ac:dyDescent="0.3">
      <c r="B47" s="81">
        <f>+B38</f>
        <v>40</v>
      </c>
      <c r="C47" s="67">
        <f>+(C$26*$B47-$G$13-$G$17)+'Wheat Grain'!$G$37+'Wheat Grain'!$G$42+$G$12-$G$51</f>
        <v>-58.627875000000003</v>
      </c>
      <c r="D47" s="133">
        <f>+(D$26*$B47-$G$13-$G$17)+'Wheat Grain'!$G$37+'Wheat Grain'!$G$42+$G$12-$G$51</f>
        <v>-47.867874999999984</v>
      </c>
      <c r="E47" s="137">
        <f>+(E$26*$B47-$G$13-$G$17)+'Wheat Grain'!$G$37+'Wheat Grain'!$G$42+$G$12-$G$51</f>
        <v>-37.107874999999993</v>
      </c>
      <c r="F47" s="134">
        <f>+(F$26*$B47-$G$13-$G$17)+'Wheat Grain'!$G$37+'Wheat Grain'!$G$42+$G$12-$G$51</f>
        <v>-26.347874999999977</v>
      </c>
      <c r="G47" s="69">
        <f>+(G$26*$B47-$G$13-$G$17)+'Wheat Grain'!$G$37+'Wheat Grain'!$G$42+$G$12-$G$51</f>
        <v>-15.587874999999986</v>
      </c>
      <c r="I47" s="81">
        <f>+I38</f>
        <v>35</v>
      </c>
      <c r="J47" s="67">
        <f>+(J$26*$I47+$N$8-$N$13-$N$17)+'Wheat Dual  ~700Lb'!$G$37+'Wheat Dual  ~700Lb'!$G$42+$N$12-$N$51</f>
        <v>-54.058094999999994</v>
      </c>
      <c r="K47" s="133">
        <f>+(K$26*$I47+$N$8-$N$13-$N$17)+'Wheat Dual  ~700Lb'!$G$37+'Wheat Dual  ~700Lb'!$G$42+$N$12-$N$51</f>
        <v>-44.643095000000002</v>
      </c>
      <c r="L47" s="137">
        <f>+(L$26*$I47+$N$8-$N$13-$N$17)+'Wheat Dual  ~700Lb'!$G$37+'Wheat Dual  ~700Lb'!$G$42+$N$12-$N$51</f>
        <v>-35.22809500000001</v>
      </c>
      <c r="M47" s="134">
        <f>+(M$26*$I47+$N$8-$N$13-$N$17)+'Wheat Dual  ~700Lb'!$G$37+'Wheat Dual  ~700Lb'!$G$42+$N$12-$N$51</f>
        <v>-25.813094999999993</v>
      </c>
      <c r="N47" s="69">
        <f>+(N$26*$I47+$N$8-$N$13-$N$17)+'Wheat Dual  ~700Lb'!$G$37+'Wheat Dual  ~700Lb'!$G$42+$N$12-$N$51</f>
        <v>-16.398095000000001</v>
      </c>
      <c r="P47" s="81">
        <f>+P38</f>
        <v>35</v>
      </c>
      <c r="Q47" s="67">
        <f>+(Q$26*$P47*$U$6+$U$8-$U$13-$U$17)+'Wheat Dual ~800Lb'!$G$37+'Wheat Dual ~800Lb'!$G$42+$U$12-$U$51*$U$6</f>
        <v>-75.638095000000007</v>
      </c>
      <c r="R47" s="133">
        <f>+(R$26*$P47*$U$6+$U$8-$U$13-$U$17)+'Wheat Dual ~800Lb'!$G$37+'Wheat Dual ~800Lb'!$G$42+$U$12-$U$51*$U$6</f>
        <v>-69.753720000000001</v>
      </c>
      <c r="S47" s="137">
        <f>+(S$26*$P47*$U$6+$U$8-$U$13-$U$17)+'Wheat Dual ~800Lb'!$G$37+'Wheat Dual ~800Lb'!$G$42+$U$12-$U$51*$U$6</f>
        <v>-63.869344999999996</v>
      </c>
      <c r="T47" s="134">
        <f>+(T$26*$P47*$U$6+$U$8-$U$13-$U$17)+'Wheat Dual ~800Lb'!$G$37+'Wheat Dual ~800Lb'!$G$42+$U$12-$U$51*$U$6</f>
        <v>-57.98496999999999</v>
      </c>
      <c r="U47" s="69">
        <f>+(U$26*$P47*$U$6+$U$8-$U$13-$U$17)+'Wheat Dual ~800Lb'!$G$37+'Wheat Dual ~800Lb'!$G$42+$U$12-$U$51*$U$6</f>
        <v>-52.100594999999984</v>
      </c>
      <c r="W47" s="81">
        <f>+W38</f>
        <v>229.76666666666668</v>
      </c>
      <c r="X47" s="67">
        <f>+(X$26*$W47)-$AB$13-$AB$17+'Wheat Graze Out'!$G$37+'Wheat Graze Out'!$G$42</f>
        <v>-147.71641666666665</v>
      </c>
      <c r="Y47" s="133">
        <f>+(Y$26*$W47)-$AB$13-$AB$17+'Wheat Graze Out'!$G$37+'Wheat Graze Out'!$G$42</f>
        <v>-114.40024999999996</v>
      </c>
      <c r="Z47" s="137">
        <f>+(Z$26*$W47)-$AB$13-$AB$17+'Wheat Graze Out'!$G$37+'Wheat Graze Out'!$G$42</f>
        <v>-99.465416666666627</v>
      </c>
      <c r="AA47" s="134">
        <f>+(AA$26*$W47)-$AB$13-$AB$17+'Wheat Graze Out'!$G$37+'Wheat Graze Out'!$G$42</f>
        <v>-87.977083333333312</v>
      </c>
      <c r="AB47" s="69">
        <f>+(AB$26*$W47)-$AB$13-$AB$17+'Wheat Graze Out'!$G$37+'Wheat Graze Out'!$G$42</f>
        <v>-65.000416666666624</v>
      </c>
      <c r="AD47" s="1"/>
      <c r="AE47" s="1"/>
      <c r="AF47" s="1"/>
      <c r="AG47" s="1"/>
      <c r="AH47" s="1"/>
      <c r="AI47" s="1"/>
      <c r="AK47" s="81">
        <f>+AK38</f>
        <v>262.77785454088678</v>
      </c>
      <c r="AL47" s="67">
        <f t="shared" si="6"/>
        <v>-57.604619002009819</v>
      </c>
      <c r="AM47" s="133">
        <f t="shared" si="6"/>
        <v>-41.83794772955661</v>
      </c>
      <c r="AN47" s="137">
        <f t="shared" si="6"/>
        <v>-28.69905500251226</v>
      </c>
      <c r="AO47" s="134">
        <f t="shared" si="6"/>
        <v>10.717623178620729</v>
      </c>
      <c r="AP47" s="69">
        <f t="shared" si="6"/>
        <v>36.995408632709434</v>
      </c>
    </row>
    <row r="48" spans="2:42" x14ac:dyDescent="0.25">
      <c r="B48" s="66">
        <f>+B47*1.1</f>
        <v>44</v>
      </c>
      <c r="C48" s="67">
        <f>+(C$26*$B48-$G$13-$G$17)+'Wheat Grain'!$G$37+'Wheat Grain'!$G$42+$G$12-$G$51</f>
        <v>-39.259875000000008</v>
      </c>
      <c r="D48" s="68">
        <f>+(D$26*$B48-$G$13-$G$17)+'Wheat Grain'!$G$37+'Wheat Grain'!$G$42+$G$12-$G$51</f>
        <v>-27.423874999999999</v>
      </c>
      <c r="E48" s="136">
        <f>+(E$26*$B48-$G$13-$G$17)+'Wheat Grain'!$G$37+'Wheat Grain'!$G$42+$G$12-$G$51</f>
        <v>-15.587874999999986</v>
      </c>
      <c r="F48" s="68">
        <f>+(F$26*$B48-$G$13-$G$17)+'Wheat Grain'!$G$37+'Wheat Grain'!$G$42+$G$12-$G$51</f>
        <v>-3.7518749999999734</v>
      </c>
      <c r="G48" s="69">
        <f>+(G$26*$B48-$G$13-$G$17)+'Wheat Grain'!$G$37+'Wheat Grain'!$G$42+$G$12-$G$51</f>
        <v>8.0841250000000144</v>
      </c>
      <c r="I48" s="66">
        <f>+I47*1.1</f>
        <v>38.5</v>
      </c>
      <c r="J48" s="67">
        <f>+(J$26*$I48+$N$8-$N$13-$N$17)+'Wheat Dual  ~700Lb'!$G$37+'Wheat Dual  ~700Lb'!$G$42+$N$12-$N$51</f>
        <v>-37.11109500000002</v>
      </c>
      <c r="K48" s="68">
        <f>+(K$26*$I48+$N$8-$N$13-$N$17)+'Wheat Dual  ~700Lb'!$G$37+'Wheat Dual  ~700Lb'!$G$42+$N$12-$N$51</f>
        <v>-26.754595000000013</v>
      </c>
      <c r="L48" s="136">
        <f>+(L$26*$I48+$N$8-$N$13-$N$17)+'Wheat Dual  ~700Lb'!$G$37+'Wheat Dual  ~700Lb'!$G$42+$N$12-$N$51</f>
        <v>-16.398095000000001</v>
      </c>
      <c r="M48" s="68">
        <f>+(M$26*$I48+$N$8-$N$13-$N$17)+'Wheat Dual  ~700Lb'!$G$37+'Wheat Dual  ~700Lb'!$G$42+$N$12-$N$51</f>
        <v>-6.0415950000000187</v>
      </c>
      <c r="N48" s="69">
        <f>+(N$26*$I48+$N$8-$N$13-$N$17)+'Wheat Dual  ~700Lb'!$G$37+'Wheat Dual  ~700Lb'!$G$42+$N$12-$N$51</f>
        <v>4.3149050000000244</v>
      </c>
      <c r="P48" s="66">
        <f>+P47*1.1</f>
        <v>38.5</v>
      </c>
      <c r="Q48" s="67">
        <f>+(Q$26*$P48*$U$6+$U$8-$U$13-$U$17)+'Wheat Dual ~800Lb'!$G$37+'Wheat Dual ~800Lb'!$G$42+$U$12-$U$51*$U$6</f>
        <v>-65.046220000000019</v>
      </c>
      <c r="R48" s="68">
        <f>+(R$26*$P48*$U$6+$U$8-$U$13-$U$17)+'Wheat Dual ~800Lb'!$G$37+'Wheat Dual ~800Lb'!$G$42+$U$12-$U$51*$U$6</f>
        <v>-58.573407500000016</v>
      </c>
      <c r="S48" s="136">
        <f>+(S$26*$P48*$U$6+$U$8-$U$13-$U$17)+'Wheat Dual ~800Lb'!$G$37+'Wheat Dual ~800Lb'!$G$42+$U$12-$U$51*$U$6</f>
        <v>-52.100594999999984</v>
      </c>
      <c r="T48" s="68">
        <f>+(T$26*$P48*$U$6+$U$8-$U$13-$U$17)+'Wheat Dual ~800Lb'!$G$37+'Wheat Dual ~800Lb'!$G$42+$U$12-$U$51*$U$6</f>
        <v>-45.627782499999981</v>
      </c>
      <c r="U48" s="69">
        <f>+(U$26*$P48*$U$6+$U$8-$U$13-$U$17)+'Wheat Dual ~800Lb'!$G$37+'Wheat Dual ~800Lb'!$G$42+$U$12-$U$51*$U$6</f>
        <v>-39.154969999999977</v>
      </c>
      <c r="W48" s="66">
        <f>+W47*1.05</f>
        <v>241.25500000000002</v>
      </c>
      <c r="X48" s="67">
        <f>+(X$26*$W48)-$AB$13-$AB$17+'Wheat Graze Out'!$G$37+'Wheat Graze Out'!$G$42</f>
        <v>-142.66154999999998</v>
      </c>
      <c r="Y48" s="68">
        <f>+(Y$26*$W48)-$AB$13-$AB$17+'Wheat Graze Out'!$G$37+'Wheat Graze Out'!$G$42</f>
        <v>-107.67957499999996</v>
      </c>
      <c r="Z48" s="136">
        <f>+(Z$26*$W48)-$AB$13-$AB$17+'Wheat Graze Out'!$G$37+'Wheat Graze Out'!$G$42</f>
        <v>-91.997999999999976</v>
      </c>
      <c r="AA48" s="68">
        <f>+(AA$26*$W48)-$AB$13-$AB$17+'Wheat Graze Out'!$G$37+'Wheat Graze Out'!$G$42</f>
        <v>-79.935249999999982</v>
      </c>
      <c r="AB48" s="69">
        <f>+(AB$26*$W48)-$AB$13-$AB$17+'Wheat Graze Out'!$G$37+'Wheat Graze Out'!$G$42</f>
        <v>-55.809749999999966</v>
      </c>
      <c r="AD48" s="1"/>
      <c r="AE48" s="1"/>
      <c r="AF48" s="1"/>
      <c r="AG48" s="1"/>
      <c r="AH48" s="1"/>
      <c r="AI48" s="1"/>
      <c r="AK48" s="66">
        <f>+AK47*1.05</f>
        <v>275.91674726793116</v>
      </c>
      <c r="AL48" s="67">
        <f t="shared" si="6"/>
        <v>-51.823506202110288</v>
      </c>
      <c r="AM48" s="68">
        <f t="shared" si="6"/>
        <v>-35.268501366034421</v>
      </c>
      <c r="AN48" s="136">
        <f t="shared" si="6"/>
        <v>-21.472664002637856</v>
      </c>
      <c r="AO48" s="68">
        <f t="shared" si="6"/>
        <v>19.914848087551803</v>
      </c>
      <c r="AP48" s="69">
        <f t="shared" si="6"/>
        <v>47.506522814344926</v>
      </c>
    </row>
    <row r="49" spans="2:42" ht="15.75" thickBot="1" x14ac:dyDescent="0.3">
      <c r="B49" s="70">
        <f>+B47*1.2</f>
        <v>48</v>
      </c>
      <c r="C49" s="71">
        <f>+(C$26*$B49-$G$13-$G$17)+'Wheat Grain'!$G$37+'Wheat Grain'!$G$42+$G$12-$G$51</f>
        <v>-19.891874999999988</v>
      </c>
      <c r="D49" s="72">
        <f>+(D$26*$B49-$G$13-$G$17)+'Wheat Grain'!$G$37+'Wheat Grain'!$G$42+$G$12-$G$51</f>
        <v>-6.9798750000000105</v>
      </c>
      <c r="E49" s="72">
        <f>+(E$26*$B49-$G$13-$G$17)+'Wheat Grain'!$G$37+'Wheat Grain'!$G$42+$G$12-$G$51</f>
        <v>5.9321250000000276</v>
      </c>
      <c r="F49" s="72">
        <f>+(F$26*$B49-$G$13-$G$17)+'Wheat Grain'!$G$37+'Wheat Grain'!$G$42+$G$12-$G$51</f>
        <v>18.844125000000009</v>
      </c>
      <c r="G49" s="73">
        <f>+(G$26*$B49-$G$13-$G$17)+'Wheat Grain'!$G$37+'Wheat Grain'!$G$42+$G$12-$G$51</f>
        <v>31.756125000000043</v>
      </c>
      <c r="I49" s="70">
        <f>+I47*1.2</f>
        <v>42</v>
      </c>
      <c r="J49" s="71">
        <f>+(J$26*$I49+$N$8-$N$13-$N$17)+'Wheat Dual  ~700Lb'!$G$37+'Wheat Dual  ~700Lb'!$G$42+$N$12-$N$51</f>
        <v>-20.164095000000021</v>
      </c>
      <c r="K49" s="72">
        <f>+(K$26*$I49+$N$8-$N$13-$N$17)+'Wheat Dual  ~700Lb'!$G$37+'Wheat Dual  ~700Lb'!$G$42+$N$12-$N$51</f>
        <v>-8.8660950000000192</v>
      </c>
      <c r="L49" s="72">
        <f>+(L$26*$I49+$N$8-$N$13-$N$17)+'Wheat Dual  ~700Lb'!$G$37+'Wheat Dual  ~700Lb'!$G$42+$N$12-$N$51</f>
        <v>2.4319050000000431</v>
      </c>
      <c r="M49" s="72">
        <f>+(M$26*$I49+$N$8-$N$13-$N$17)+'Wheat Dual  ~700Lb'!$G$37+'Wheat Dual  ~700Lb'!$G$42+$N$12-$N$51</f>
        <v>13.729905000000045</v>
      </c>
      <c r="N49" s="73">
        <f>+(N$26*$I49+$N$8-$N$13-$N$17)+'Wheat Dual  ~700Lb'!$G$37+'Wheat Dual  ~700Lb'!$G$42+$N$12-$N$51</f>
        <v>25.02790500000005</v>
      </c>
      <c r="P49" s="70">
        <f>+P47*1.2</f>
        <v>42</v>
      </c>
      <c r="Q49" s="71">
        <f>+(Q$26*$P49*$U$6+$U$8-$U$13-$U$17)+'Wheat Dual ~800Lb'!$G$37+'Wheat Dual ~800Lb'!$G$42+$U$12-$U$51*$U$6</f>
        <v>-54.454345000000004</v>
      </c>
      <c r="R49" s="72">
        <f>+(R$26*$P49*$U$6+$U$8-$U$13-$U$17)+'Wheat Dual ~800Lb'!$G$37+'Wheat Dual ~800Lb'!$G$42+$U$12-$U$51*$U$6</f>
        <v>-47.393095000000002</v>
      </c>
      <c r="S49" s="72">
        <f>+(S$26*$P49*$U$6+$U$8-$U$13-$U$17)+'Wheat Dual ~800Lb'!$G$37+'Wheat Dual ~800Lb'!$G$42+$U$12-$U$51*$U$6</f>
        <v>-40.331845000000001</v>
      </c>
      <c r="T49" s="72">
        <f>+(T$26*$P49*$U$6+$U$8-$U$13-$U$17)+'Wheat Dual ~800Lb'!$G$37+'Wheat Dual ~800Lb'!$G$42+$U$12-$U$51*$U$6</f>
        <v>-33.270595</v>
      </c>
      <c r="U49" s="73">
        <f>+(U$26*$P49*$U$6+$U$8-$U$13-$U$17)+'Wheat Dual ~800Lb'!$G$37+'Wheat Dual ~800Lb'!$G$42+$U$12-$U$51*$U$6</f>
        <v>-26.209344999999999</v>
      </c>
      <c r="W49" s="70">
        <f>+W48*1.1</f>
        <v>265.38050000000004</v>
      </c>
      <c r="X49" s="71">
        <f>+(X$26*$W49)-$AB$13-$AB$17+'Wheat Graze Out'!$G$37+'Wheat Graze Out'!$G$42</f>
        <v>-132.04632999999998</v>
      </c>
      <c r="Y49" s="72">
        <f>+(Y$26*$W49)-$AB$13-$AB$17+'Wheat Graze Out'!$G$37+'Wheat Graze Out'!$G$42</f>
        <v>-93.566157499999932</v>
      </c>
      <c r="Z49" s="72">
        <f>+(Z$26*$W49)-$AB$13-$AB$17+'Wheat Graze Out'!$G$37+'Wheat Graze Out'!$G$42</f>
        <v>-76.316424999999938</v>
      </c>
      <c r="AA49" s="72">
        <f>+(AA$26*$W49)-$AB$13-$AB$17+'Wheat Graze Out'!$G$37+'Wheat Graze Out'!$G$42</f>
        <v>-63.047399999999968</v>
      </c>
      <c r="AB49" s="73">
        <f>+(AB$26*$W49)-$AB$13-$AB$17+'Wheat Graze Out'!$G$37+'Wheat Graze Out'!$G$42</f>
        <v>-36.509349999999941</v>
      </c>
      <c r="AD49" s="1"/>
      <c r="AE49" s="1"/>
      <c r="AF49" s="1"/>
      <c r="AG49" s="1"/>
      <c r="AH49" s="1"/>
      <c r="AI49" s="1"/>
      <c r="AK49" s="70">
        <f>+AK48*1.1</f>
        <v>303.5084219947243</v>
      </c>
      <c r="AL49" s="71">
        <f t="shared" si="6"/>
        <v>-39.683169322321298</v>
      </c>
      <c r="AM49" s="72">
        <f t="shared" si="6"/>
        <v>-21.472664002637856</v>
      </c>
      <c r="AN49" s="72">
        <f t="shared" si="6"/>
        <v>-6.2972429029016137</v>
      </c>
      <c r="AO49" s="72">
        <f t="shared" si="6"/>
        <v>39.229020396307</v>
      </c>
      <c r="AP49" s="73">
        <f t="shared" si="6"/>
        <v>69.579862595779446</v>
      </c>
    </row>
    <row r="50" spans="2:42" ht="15.75" thickTop="1" x14ac:dyDescent="0.25">
      <c r="AD50" s="1"/>
      <c r="AE50" s="1"/>
      <c r="AF50" s="1"/>
      <c r="AG50" s="1"/>
      <c r="AH50" s="1"/>
      <c r="AI50" s="1"/>
    </row>
    <row r="51" spans="2:42" x14ac:dyDescent="0.25">
      <c r="B51" s="1" t="s">
        <v>115</v>
      </c>
      <c r="G51" s="93">
        <v>16.2</v>
      </c>
      <c r="I51" s="1" t="s">
        <v>115</v>
      </c>
      <c r="N51" s="93">
        <v>16.2</v>
      </c>
      <c r="P51" s="1" t="s">
        <v>115</v>
      </c>
      <c r="U51" s="93">
        <v>16.2</v>
      </c>
      <c r="W51" s="1" t="s">
        <v>115</v>
      </c>
      <c r="AB51" s="93">
        <v>16.2</v>
      </c>
      <c r="AD51" s="1"/>
      <c r="AE51" s="1"/>
      <c r="AF51" s="1"/>
      <c r="AG51" s="1"/>
      <c r="AH51" s="1"/>
      <c r="AI51" s="1"/>
      <c r="AK51" s="1" t="s">
        <v>115</v>
      </c>
      <c r="AP51" s="93">
        <v>16.2</v>
      </c>
    </row>
  </sheetData>
  <mergeCells count="33">
    <mergeCell ref="C43:G43"/>
    <mergeCell ref="J43:N43"/>
    <mergeCell ref="Q43:U43"/>
    <mergeCell ref="X43:AB43"/>
    <mergeCell ref="AL43:AP43"/>
    <mergeCell ref="B42:G42"/>
    <mergeCell ref="I42:N42"/>
    <mergeCell ref="P42:U42"/>
    <mergeCell ref="W42:AB42"/>
    <mergeCell ref="AK42:AP42"/>
    <mergeCell ref="C34:G34"/>
    <mergeCell ref="J34:N34"/>
    <mergeCell ref="Q34:U34"/>
    <mergeCell ref="X34:AB34"/>
    <mergeCell ref="AL34:AP34"/>
    <mergeCell ref="C25:G25"/>
    <mergeCell ref="X25:AB25"/>
    <mergeCell ref="AL25:AP25"/>
    <mergeCell ref="B33:G33"/>
    <mergeCell ref="I33:N33"/>
    <mergeCell ref="P33:U33"/>
    <mergeCell ref="W33:AB33"/>
    <mergeCell ref="AK33:AP33"/>
    <mergeCell ref="B24:G24"/>
    <mergeCell ref="I24:N24"/>
    <mergeCell ref="P24:U24"/>
    <mergeCell ref="W24:AB24"/>
    <mergeCell ref="AK24:AP24"/>
    <mergeCell ref="B2:G2"/>
    <mergeCell ref="I2:N2"/>
    <mergeCell ref="P2:U2"/>
    <mergeCell ref="W2:AB2"/>
    <mergeCell ref="AK2:AP2"/>
  </mergeCells>
  <conditionalFormatting sqref="C27:G31">
    <cfRule type="colorScale" priority="47">
      <colorScale>
        <cfvo type="min"/>
        <cfvo type="max"/>
        <color theme="0" tint="-4.9989318521683403E-2"/>
        <color theme="0" tint="-0.34998626667073579"/>
      </colorScale>
    </cfRule>
    <cfRule type="colorScale" priority="48">
      <colorScale>
        <cfvo type="min"/>
        <cfvo type="max"/>
        <color rgb="FFFCFCFF"/>
        <color rgb="FF63BE7B"/>
      </colorScale>
    </cfRule>
  </conditionalFormatting>
  <conditionalFormatting sqref="Q27:U31">
    <cfRule type="colorScale" priority="45">
      <colorScale>
        <cfvo type="min"/>
        <cfvo type="max"/>
        <color theme="0" tint="-4.9989318521683403E-2"/>
        <color theme="0" tint="-0.34998626667073579"/>
      </colorScale>
    </cfRule>
    <cfRule type="colorScale" priority="46">
      <colorScale>
        <cfvo type="min"/>
        <cfvo type="max"/>
        <color rgb="FFFCFCFF"/>
        <color rgb="FF63BE7B"/>
      </colorScale>
    </cfRule>
  </conditionalFormatting>
  <conditionalFormatting sqref="X27:AB31">
    <cfRule type="colorScale" priority="43">
      <colorScale>
        <cfvo type="min"/>
        <cfvo type="max"/>
        <color theme="0" tint="-4.9989318521683403E-2"/>
        <color theme="0" tint="-0.34998626667073579"/>
      </colorScale>
    </cfRule>
    <cfRule type="colorScale" priority="44">
      <colorScale>
        <cfvo type="min"/>
        <cfvo type="max"/>
        <color rgb="FFFCFCFF"/>
        <color rgb="FF63BE7B"/>
      </colorScale>
    </cfRule>
  </conditionalFormatting>
  <conditionalFormatting sqref="C36:G41">
    <cfRule type="colorScale" priority="49">
      <colorScale>
        <cfvo type="min"/>
        <cfvo type="max"/>
        <color theme="0" tint="-4.9989318521683403E-2"/>
        <color theme="0" tint="-0.34998626667073579"/>
      </colorScale>
    </cfRule>
    <cfRule type="colorScale" priority="50">
      <colorScale>
        <cfvo type="min"/>
        <cfvo type="max"/>
        <color rgb="FFFCFCFF"/>
        <color rgb="FF63BE7B"/>
      </colorScale>
    </cfRule>
  </conditionalFormatting>
  <conditionalFormatting sqref="Q36:U41">
    <cfRule type="colorScale" priority="51">
      <colorScale>
        <cfvo type="min"/>
        <cfvo type="max"/>
        <color theme="0" tint="-4.9989318521683403E-2"/>
        <color theme="0" tint="-0.34998626667073579"/>
      </colorScale>
    </cfRule>
    <cfRule type="colorScale" priority="52">
      <colorScale>
        <cfvo type="min"/>
        <cfvo type="max"/>
        <color rgb="FFFCFCFF"/>
        <color rgb="FF63BE7B"/>
      </colorScale>
    </cfRule>
  </conditionalFormatting>
  <conditionalFormatting sqref="X36:AB41">
    <cfRule type="colorScale" priority="53">
      <colorScale>
        <cfvo type="min"/>
        <cfvo type="max"/>
        <color theme="0" tint="-4.9989318521683403E-2"/>
        <color theme="0" tint="-0.34998626667073579"/>
      </colorScale>
    </cfRule>
    <cfRule type="colorScale" priority="54">
      <colorScale>
        <cfvo type="min"/>
        <cfvo type="max"/>
        <color rgb="FFFCFCFF"/>
        <color rgb="FF63BE7B"/>
      </colorScale>
    </cfRule>
  </conditionalFormatting>
  <conditionalFormatting sqref="C45:G49">
    <cfRule type="colorScale" priority="41">
      <colorScale>
        <cfvo type="min"/>
        <cfvo type="max"/>
        <color theme="0" tint="-4.9989318521683403E-2"/>
        <color theme="0" tint="-0.34998626667073579"/>
      </colorScale>
    </cfRule>
    <cfRule type="colorScale" priority="42">
      <colorScale>
        <cfvo type="min"/>
        <cfvo type="max"/>
        <color rgb="FFFCFCFF"/>
        <color rgb="FF63BE7B"/>
      </colorScale>
    </cfRule>
  </conditionalFormatting>
  <conditionalFormatting sqref="Q45:U49">
    <cfRule type="colorScale" priority="39">
      <colorScale>
        <cfvo type="min"/>
        <cfvo type="max"/>
        <color theme="0" tint="-4.9989318521683403E-2"/>
        <color theme="0" tint="-0.34998626667073579"/>
      </colorScale>
    </cfRule>
    <cfRule type="colorScale" priority="40">
      <colorScale>
        <cfvo type="min"/>
        <cfvo type="max"/>
        <color rgb="FFFCFCFF"/>
        <color rgb="FF63BE7B"/>
      </colorScale>
    </cfRule>
  </conditionalFormatting>
  <conditionalFormatting sqref="X45:AB49">
    <cfRule type="colorScale" priority="37">
      <colorScale>
        <cfvo type="min"/>
        <cfvo type="max"/>
        <color theme="0" tint="-4.9989318521683403E-2"/>
        <color theme="0" tint="-0.34998626667073579"/>
      </colorScale>
    </cfRule>
    <cfRule type="colorScale" priority="38">
      <colorScale>
        <cfvo type="min"/>
        <cfvo type="max"/>
        <color rgb="FFFCFCFF"/>
        <color rgb="FF63BE7B"/>
      </colorScale>
    </cfRule>
  </conditionalFormatting>
  <conditionalFormatting sqref="J27:N31">
    <cfRule type="colorScale" priority="33">
      <colorScale>
        <cfvo type="min"/>
        <cfvo type="max"/>
        <color theme="0" tint="-4.9989318521683403E-2"/>
        <color theme="0" tint="-0.34998626667073579"/>
      </colorScale>
    </cfRule>
    <cfRule type="colorScale" priority="34">
      <colorScale>
        <cfvo type="min"/>
        <cfvo type="max"/>
        <color rgb="FFFCFCFF"/>
        <color rgb="FF63BE7B"/>
      </colorScale>
    </cfRule>
  </conditionalFormatting>
  <conditionalFormatting sqref="J36:N41">
    <cfRule type="colorScale" priority="35">
      <colorScale>
        <cfvo type="min"/>
        <cfvo type="max"/>
        <color theme="0" tint="-4.9989318521683403E-2"/>
        <color theme="0" tint="-0.34998626667073579"/>
      </colorScale>
    </cfRule>
    <cfRule type="colorScale" priority="36">
      <colorScale>
        <cfvo type="min"/>
        <cfvo type="max"/>
        <color rgb="FFFCFCFF"/>
        <color rgb="FF63BE7B"/>
      </colorScale>
    </cfRule>
  </conditionalFormatting>
  <conditionalFormatting sqref="J45:N49">
    <cfRule type="colorScale" priority="31">
      <colorScale>
        <cfvo type="min"/>
        <cfvo type="max"/>
        <color theme="0" tint="-4.9989318521683403E-2"/>
        <color theme="0" tint="-0.34998626667073579"/>
      </colorScale>
    </cfRule>
    <cfRule type="colorScale" priority="32">
      <colorScale>
        <cfvo type="min"/>
        <cfvo type="max"/>
        <color rgb="FFFCFCFF"/>
        <color rgb="FF63BE7B"/>
      </colorScale>
    </cfRule>
  </conditionalFormatting>
  <conditionalFormatting sqref="C27:G31 J27:N31 Q27:U31 X27:AB31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6:G40 J36:N40 Q36:U40 X36:AB40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5:G49 J45:N49 Q45:U49 X45:AB49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L41:AP41">
    <cfRule type="colorScale" priority="14">
      <colorScale>
        <cfvo type="min"/>
        <cfvo type="max"/>
        <color theme="0" tint="-4.9989318521683403E-2"/>
        <color theme="0" tint="-0.34998626667073579"/>
      </colorScale>
    </cfRule>
    <cfRule type="colorScale" priority="15">
      <colorScale>
        <cfvo type="min"/>
        <cfvo type="max"/>
        <color rgb="FFFCFCFF"/>
        <color rgb="FF63BE7B"/>
      </colorScale>
    </cfRule>
  </conditionalFormatting>
  <conditionalFormatting sqref="AL45:AP49">
    <cfRule type="colorScale" priority="12">
      <colorScale>
        <cfvo type="min"/>
        <cfvo type="max"/>
        <color theme="0" tint="-4.9989318521683403E-2"/>
        <color theme="0" tint="-0.34998626667073579"/>
      </colorScale>
    </cfRule>
    <cfRule type="colorScale" priority="13">
      <colorScale>
        <cfvo type="min"/>
        <cfvo type="max"/>
        <color rgb="FFFCFCFF"/>
        <color rgb="FF63BE7B"/>
      </colorScale>
    </cfRule>
  </conditionalFormatting>
  <conditionalFormatting sqref="AL45:AP49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L27:AP31">
    <cfRule type="colorScale" priority="9">
      <colorScale>
        <cfvo type="min"/>
        <cfvo type="max"/>
        <color theme="0" tint="-4.9989318521683403E-2"/>
        <color theme="0" tint="-0.34998626667073579"/>
      </colorScale>
    </cfRule>
    <cfRule type="colorScale" priority="10">
      <colorScale>
        <cfvo type="min"/>
        <cfvo type="max"/>
        <color rgb="FFFCFCFF"/>
        <color rgb="FF63BE7B"/>
      </colorScale>
    </cfRule>
  </conditionalFormatting>
  <conditionalFormatting sqref="AL27:AP31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L36:AP40">
    <cfRule type="colorScale" priority="6">
      <colorScale>
        <cfvo type="min"/>
        <cfvo type="max"/>
        <color theme="0" tint="-4.9989318521683403E-2"/>
        <color theme="0" tint="-0.34998626667073579"/>
      </colorScale>
    </cfRule>
    <cfRule type="colorScale" priority="7">
      <colorScale>
        <cfvo type="min"/>
        <cfvo type="max"/>
        <color rgb="FFFCFCFF"/>
        <color rgb="FF63BE7B"/>
      </colorScale>
    </cfRule>
  </conditionalFormatting>
  <conditionalFormatting sqref="AL36:AP40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L27:AP31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L36:AP40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L45:AP49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6:G40 J36:N40 Q36:U40 AL36:AP40 X36:AB4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B74BB-1DA7-4190-9732-5527679BFDF3}">
  <dimension ref="B1:AI61"/>
  <sheetViews>
    <sheetView workbookViewId="0">
      <selection activeCell="N9" sqref="N9"/>
    </sheetView>
  </sheetViews>
  <sheetFormatPr defaultColWidth="8.85546875" defaultRowHeight="15" x14ac:dyDescent="0.25"/>
  <cols>
    <col min="1" max="1" width="3.7109375" style="1" customWidth="1"/>
    <col min="2" max="6" width="4.140625" style="1" customWidth="1"/>
    <col min="7" max="7" width="7.28515625" style="1" customWidth="1"/>
    <col min="8" max="8" width="2.42578125" style="1" customWidth="1"/>
    <col min="9" max="9" width="4.140625" style="1" customWidth="1"/>
    <col min="10" max="14" width="5.7109375" style="1" customWidth="1"/>
    <col min="15" max="15" width="2.5703125" style="1" customWidth="1"/>
    <col min="16" max="16" width="6" style="1" customWidth="1"/>
    <col min="17" max="21" width="5.42578125" style="1" customWidth="1"/>
    <col min="22" max="22" width="1.85546875" style="1" customWidth="1"/>
    <col min="23" max="23" width="4.140625" style="1" customWidth="1"/>
    <col min="24" max="28" width="6.28515625" style="1" customWidth="1"/>
    <col min="29" max="29" width="2.85546875" style="1" customWidth="1"/>
    <col min="30" max="30" width="4.140625" style="1" customWidth="1"/>
    <col min="31" max="35" width="5.7109375" style="1" customWidth="1"/>
    <col min="36" max="16384" width="8.85546875" style="1"/>
  </cols>
  <sheetData>
    <row r="1" spans="2:35" ht="15.75" thickBot="1" x14ac:dyDescent="0.3"/>
    <row r="2" spans="2:35" x14ac:dyDescent="0.25">
      <c r="B2" s="358" t="s">
        <v>57</v>
      </c>
      <c r="C2" s="359"/>
      <c r="D2" s="359"/>
      <c r="E2" s="359"/>
      <c r="F2" s="359"/>
      <c r="G2" s="360"/>
      <c r="H2" s="3"/>
      <c r="I2" s="358" t="s">
        <v>90</v>
      </c>
      <c r="J2" s="359"/>
      <c r="K2" s="359"/>
      <c r="L2" s="359"/>
      <c r="M2" s="359"/>
      <c r="N2" s="360"/>
      <c r="O2" s="10"/>
      <c r="P2" s="358" t="s">
        <v>91</v>
      </c>
      <c r="Q2" s="359"/>
      <c r="R2" s="359"/>
      <c r="S2" s="359"/>
      <c r="T2" s="359"/>
      <c r="U2" s="360"/>
      <c r="W2" s="358" t="s">
        <v>142</v>
      </c>
      <c r="X2" s="359"/>
      <c r="Y2" s="359"/>
      <c r="Z2" s="359"/>
      <c r="AA2" s="359"/>
      <c r="AB2" s="360"/>
      <c r="AD2" s="358" t="s">
        <v>137</v>
      </c>
      <c r="AE2" s="359"/>
      <c r="AF2" s="359"/>
      <c r="AG2" s="359"/>
      <c r="AH2" s="359"/>
      <c r="AI2" s="360"/>
    </row>
    <row r="3" spans="2:35" x14ac:dyDescent="0.25">
      <c r="B3" s="12" t="s">
        <v>84</v>
      </c>
      <c r="C3" s="16"/>
      <c r="D3" s="16"/>
      <c r="E3" s="16"/>
      <c r="F3" s="16"/>
      <c r="G3" s="45">
        <f>+'Wheat Grain'!D3</f>
        <v>40</v>
      </c>
      <c r="I3" s="12" t="s">
        <v>84</v>
      </c>
      <c r="J3" s="16"/>
      <c r="K3" s="16"/>
      <c r="L3" s="16"/>
      <c r="M3" s="16"/>
      <c r="N3" s="45">
        <f>+'Wheat Dual  ~700Lb'!D3</f>
        <v>35</v>
      </c>
      <c r="O3" s="2"/>
      <c r="P3" s="12" t="s">
        <v>84</v>
      </c>
      <c r="Q3" s="16"/>
      <c r="R3" s="16"/>
      <c r="S3" s="16"/>
      <c r="T3" s="16"/>
      <c r="U3" s="45">
        <f>+'Wheat Dual ~800Lb'!D3</f>
        <v>35</v>
      </c>
      <c r="W3" s="83"/>
      <c r="X3" s="84"/>
      <c r="Y3" s="84"/>
      <c r="Z3" s="84"/>
      <c r="AA3" s="84"/>
      <c r="AB3" s="45"/>
      <c r="AD3" s="83"/>
      <c r="AE3" s="84"/>
      <c r="AF3" s="84"/>
      <c r="AG3" s="84"/>
      <c r="AH3" s="84"/>
      <c r="AI3" s="45"/>
    </row>
    <row r="4" spans="2:35" x14ac:dyDescent="0.25">
      <c r="B4" s="12"/>
      <c r="C4" s="16"/>
      <c r="D4" s="16"/>
      <c r="E4" s="16"/>
      <c r="F4" s="16"/>
      <c r="G4" s="45"/>
      <c r="I4" s="12"/>
      <c r="J4" s="16"/>
      <c r="K4" s="16"/>
      <c r="L4" s="16"/>
      <c r="M4" s="16"/>
      <c r="N4" s="45"/>
      <c r="O4" s="2"/>
      <c r="P4" s="12" t="s">
        <v>85</v>
      </c>
      <c r="Q4" s="16"/>
      <c r="R4" s="16"/>
      <c r="S4" s="16"/>
      <c r="T4" s="16"/>
      <c r="U4" s="45">
        <f>+'Wheat Dual ~800Lb'!D4+'Wheat Dual ~800Lb'!D5</f>
        <v>137.72500000000002</v>
      </c>
      <c r="W4" s="83"/>
      <c r="X4" s="84"/>
      <c r="Y4" s="84"/>
      <c r="Z4" s="84"/>
      <c r="AA4" s="84"/>
      <c r="AB4" s="45"/>
      <c r="AD4" s="83"/>
      <c r="AE4" s="84"/>
      <c r="AF4" s="84"/>
      <c r="AG4" s="84"/>
      <c r="AH4" s="84"/>
      <c r="AI4" s="45"/>
    </row>
    <row r="5" spans="2:35" x14ac:dyDescent="0.25">
      <c r="B5" s="12" t="s">
        <v>60</v>
      </c>
      <c r="C5" s="16"/>
      <c r="D5" s="16"/>
      <c r="E5" s="16"/>
      <c r="F5" s="16"/>
      <c r="G5" s="49">
        <f>+Assumptions!F14</f>
        <v>9.5</v>
      </c>
      <c r="I5" s="12" t="s">
        <v>60</v>
      </c>
      <c r="J5" s="16"/>
      <c r="K5" s="16"/>
      <c r="L5" s="16"/>
      <c r="M5" s="16"/>
      <c r="N5" s="49">
        <f>+G5</f>
        <v>9.5</v>
      </c>
      <c r="P5" s="12" t="s">
        <v>60</v>
      </c>
      <c r="Q5" s="16"/>
      <c r="R5" s="16"/>
      <c r="S5" s="16"/>
      <c r="T5" s="16"/>
      <c r="U5" s="101">
        <f>+N5</f>
        <v>9.5</v>
      </c>
      <c r="W5" s="83" t="s">
        <v>146</v>
      </c>
      <c r="X5" s="84"/>
      <c r="Y5" s="84"/>
      <c r="Z5" s="84"/>
      <c r="AA5" s="84"/>
      <c r="AB5" s="85">
        <f>1-AB7</f>
        <v>0.41208791208791207</v>
      </c>
      <c r="AD5" s="83" t="s">
        <v>147</v>
      </c>
      <c r="AE5" s="84"/>
      <c r="AF5" s="84"/>
      <c r="AG5" s="84"/>
      <c r="AH5" s="84"/>
      <c r="AI5" s="50">
        <f>+'Wheat Dual ~800Lb'!Q16</f>
        <v>0.32809371523915465</v>
      </c>
    </row>
    <row r="6" spans="2:35" x14ac:dyDescent="0.25">
      <c r="B6" s="12"/>
      <c r="C6" s="16"/>
      <c r="D6" s="16"/>
      <c r="E6" s="16"/>
      <c r="F6" s="16"/>
      <c r="G6" s="49"/>
      <c r="I6" s="12"/>
      <c r="J6" s="16"/>
      <c r="K6" s="16"/>
      <c r="L6" s="16"/>
      <c r="M6" s="16"/>
      <c r="N6" s="49"/>
      <c r="P6" s="12" t="s">
        <v>149</v>
      </c>
      <c r="Q6" s="16"/>
      <c r="R6" s="16"/>
      <c r="S6" s="16"/>
      <c r="T6" s="16"/>
      <c r="U6" s="50">
        <f>1-U7</f>
        <v>0.375</v>
      </c>
      <c r="W6" s="83" t="s">
        <v>146</v>
      </c>
      <c r="X6" s="84"/>
      <c r="Y6" s="84"/>
      <c r="Z6" s="84"/>
      <c r="AA6" s="84"/>
      <c r="AB6" s="167">
        <f>1-AB7</f>
        <v>0.41208791208791207</v>
      </c>
      <c r="AD6" s="83" t="s">
        <v>147</v>
      </c>
      <c r="AE6" s="84"/>
      <c r="AF6" s="84"/>
      <c r="AG6" s="84"/>
      <c r="AH6" s="84"/>
      <c r="AI6" s="167">
        <f>1-AI7</f>
        <v>0.32809371523915465</v>
      </c>
    </row>
    <row r="7" spans="2:35" x14ac:dyDescent="0.25">
      <c r="B7" s="12" t="s">
        <v>63</v>
      </c>
      <c r="C7" s="16"/>
      <c r="D7" s="16"/>
      <c r="E7" s="16"/>
      <c r="F7" s="16"/>
      <c r="G7" s="50">
        <v>1</v>
      </c>
      <c r="I7" s="12" t="s">
        <v>63</v>
      </c>
      <c r="J7" s="16"/>
      <c r="K7" s="16"/>
      <c r="L7" s="16"/>
      <c r="M7" s="16"/>
      <c r="N7" s="50">
        <v>1</v>
      </c>
      <c r="P7" s="12" t="s">
        <v>63</v>
      </c>
      <c r="Q7" s="16"/>
      <c r="R7" s="16"/>
      <c r="S7" s="16"/>
      <c r="T7" s="16"/>
      <c r="U7" s="51">
        <f>+'Wheat Dual ~800Lb'!H3</f>
        <v>0.625</v>
      </c>
      <c r="W7" s="83" t="s">
        <v>143</v>
      </c>
      <c r="X7" s="84"/>
      <c r="Y7" s="84"/>
      <c r="Z7" s="84"/>
      <c r="AA7" s="84"/>
      <c r="AB7" s="85">
        <f>1-'Wheat Dual ~800Lb'!Q26</f>
        <v>0.58791208791208793</v>
      </c>
      <c r="AD7" s="83" t="s">
        <v>143</v>
      </c>
      <c r="AE7" s="84"/>
      <c r="AF7" s="84"/>
      <c r="AG7" s="84"/>
      <c r="AH7" s="84"/>
      <c r="AI7" s="85">
        <f>1-'Wheat Dual ~800Lb'!Q16</f>
        <v>0.67190628476084535</v>
      </c>
    </row>
    <row r="8" spans="2:35" x14ac:dyDescent="0.25">
      <c r="B8" s="12" t="s">
        <v>64</v>
      </c>
      <c r="C8" s="16"/>
      <c r="D8" s="16"/>
      <c r="E8" s="16"/>
      <c r="F8" s="16"/>
      <c r="G8" s="54">
        <f>+G5*G3</f>
        <v>380</v>
      </c>
      <c r="I8" s="12" t="s">
        <v>64</v>
      </c>
      <c r="J8" s="16"/>
      <c r="K8" s="16"/>
      <c r="L8" s="16"/>
      <c r="M8" s="16"/>
      <c r="N8" s="54">
        <f>+N5*N3</f>
        <v>332.5</v>
      </c>
      <c r="O8" s="5"/>
      <c r="P8" s="12" t="s">
        <v>64</v>
      </c>
      <c r="Q8" s="16"/>
      <c r="R8" s="16"/>
      <c r="S8" s="16"/>
      <c r="T8" s="16"/>
      <c r="U8" s="54">
        <f>+U5*U3*U7</f>
        <v>207.8125</v>
      </c>
      <c r="W8" s="83" t="s">
        <v>64</v>
      </c>
      <c r="X8" s="84"/>
      <c r="Y8" s="84"/>
      <c r="Z8" s="84"/>
      <c r="AA8" s="84"/>
      <c r="AB8" s="58">
        <f>+U3*U5*AB7</f>
        <v>195.48076923076923</v>
      </c>
      <c r="AD8" s="83" t="s">
        <v>64</v>
      </c>
      <c r="AE8" s="84"/>
      <c r="AF8" s="84"/>
      <c r="AG8" s="84"/>
      <c r="AH8" s="84"/>
      <c r="AI8" s="58">
        <f>+U3*U5*AI7</f>
        <v>223.40883968298107</v>
      </c>
    </row>
    <row r="9" spans="2:35" x14ac:dyDescent="0.25">
      <c r="B9" s="12"/>
      <c r="C9" s="16"/>
      <c r="D9" s="16"/>
      <c r="E9" s="16"/>
      <c r="F9" s="16"/>
      <c r="G9" s="39"/>
      <c r="I9" s="164" t="s">
        <v>140</v>
      </c>
      <c r="J9" s="165"/>
      <c r="K9" s="165"/>
      <c r="L9" s="165"/>
      <c r="M9" s="165"/>
      <c r="N9" s="173">
        <f>+'Wheat Dual  ~700Lb'!G4+'Wheat Dual  ~700Lb'!N9</f>
        <v>89.125</v>
      </c>
      <c r="O9" s="5"/>
      <c r="P9" s="164" t="s">
        <v>140</v>
      </c>
      <c r="Q9" s="165"/>
      <c r="R9" s="165"/>
      <c r="S9" s="165"/>
      <c r="T9" s="165"/>
      <c r="U9" s="166">
        <f>+'Wheat Dual ~800Lb'!G4+'Wheat Dual ~800Lb'!G5+'Wheat Dual ~800Lb'!Q8</f>
        <v>141.02125000000001</v>
      </c>
      <c r="W9" s="160" t="s">
        <v>140</v>
      </c>
      <c r="X9" s="161"/>
      <c r="Y9" s="161"/>
      <c r="Z9" s="161"/>
      <c r="AA9" s="161"/>
      <c r="AB9" s="162">
        <f>+('Wheat Dual ~800Lb'!M25*'Wheat Dual ~800Lb'!N25)+('Wheat Dual ~800Lb'!M26*'Wheat Dual ~800Lb'!N26*'Wheat Dual ~800Lb'!Q26)+('Wheat Dual ~800Lb'!Q29)</f>
        <v>127.24875000000002</v>
      </c>
      <c r="AD9" s="160" t="s">
        <v>151</v>
      </c>
      <c r="AE9" s="161"/>
      <c r="AF9" s="161"/>
      <c r="AG9" s="161"/>
      <c r="AH9" s="161"/>
      <c r="AI9" s="162">
        <f>+AB9</f>
        <v>127.24875000000002</v>
      </c>
    </row>
    <row r="10" spans="2:35" x14ac:dyDescent="0.25">
      <c r="B10" s="42" t="s">
        <v>72</v>
      </c>
      <c r="C10" s="55"/>
      <c r="D10" s="55"/>
      <c r="E10" s="55"/>
      <c r="F10" s="55"/>
      <c r="G10" s="57">
        <f>+G8+G9</f>
        <v>380</v>
      </c>
      <c r="I10" s="42" t="s">
        <v>72</v>
      </c>
      <c r="J10" s="55"/>
      <c r="K10" s="55"/>
      <c r="L10" s="55"/>
      <c r="M10" s="55"/>
      <c r="N10" s="57">
        <f>+N8+N9</f>
        <v>421.625</v>
      </c>
      <c r="O10" s="6"/>
      <c r="P10" s="42" t="s">
        <v>72</v>
      </c>
      <c r="Q10" s="55"/>
      <c r="R10" s="55"/>
      <c r="S10" s="55"/>
      <c r="T10" s="55"/>
      <c r="U10" s="57">
        <f>+U8+U9</f>
        <v>348.83375000000001</v>
      </c>
      <c r="W10" s="42" t="s">
        <v>72</v>
      </c>
      <c r="X10" s="55"/>
      <c r="Y10" s="55"/>
      <c r="Z10" s="55"/>
      <c r="AA10" s="55"/>
      <c r="AB10" s="57">
        <f>+AB8+AB9</f>
        <v>322.72951923076926</v>
      </c>
      <c r="AD10" s="42" t="s">
        <v>72</v>
      </c>
      <c r="AE10" s="55"/>
      <c r="AF10" s="55"/>
      <c r="AG10" s="55"/>
      <c r="AH10" s="55"/>
      <c r="AI10" s="57">
        <f>+AI8+AI9</f>
        <v>350.6575896829811</v>
      </c>
    </row>
    <row r="11" spans="2:35" x14ac:dyDescent="0.25">
      <c r="B11" s="12"/>
      <c r="C11" s="16"/>
      <c r="D11" s="16"/>
      <c r="E11" s="16"/>
      <c r="F11" s="16"/>
      <c r="G11" s="13"/>
      <c r="I11" s="12"/>
      <c r="J11" s="16"/>
      <c r="K11" s="16"/>
      <c r="L11" s="16"/>
      <c r="M11" s="16"/>
      <c r="N11" s="13"/>
      <c r="P11" s="12"/>
      <c r="Q11" s="16"/>
      <c r="R11" s="16"/>
      <c r="S11" s="16"/>
      <c r="T11" s="16"/>
      <c r="U11" s="13"/>
      <c r="X11" s="84"/>
      <c r="Y11" s="84"/>
      <c r="Z11" s="84"/>
      <c r="AA11" s="84"/>
      <c r="AD11" s="83"/>
      <c r="AE11" s="84"/>
      <c r="AF11" s="84"/>
      <c r="AG11" s="84"/>
      <c r="AH11" s="84"/>
      <c r="AI11" s="86"/>
    </row>
    <row r="12" spans="2:35" x14ac:dyDescent="0.25">
      <c r="B12" s="12" t="s">
        <v>11</v>
      </c>
      <c r="C12" s="16"/>
      <c r="D12" s="16"/>
      <c r="E12" s="16"/>
      <c r="F12" s="16"/>
      <c r="G12" s="58">
        <f>+'Wheat Grain'!G22</f>
        <v>196.09787499999999</v>
      </c>
      <c r="I12" s="12" t="s">
        <v>11</v>
      </c>
      <c r="J12" s="16"/>
      <c r="K12" s="16"/>
      <c r="L12" s="16"/>
      <c r="M12" s="16"/>
      <c r="N12" s="58">
        <f>+'Wheat Dual  ~700Lb'!G22</f>
        <v>220.943095</v>
      </c>
      <c r="O12" s="5"/>
      <c r="P12" s="12" t="s">
        <v>11</v>
      </c>
      <c r="Q12" s="16"/>
      <c r="R12" s="16"/>
      <c r="S12" s="16"/>
      <c r="T12" s="16"/>
      <c r="U12" s="58">
        <f>+'Wheat Dual ~800Lb'!G22</f>
        <v>220.943095</v>
      </c>
      <c r="W12" s="83" t="s">
        <v>144</v>
      </c>
      <c r="X12" s="84"/>
      <c r="Y12" s="84"/>
      <c r="Z12" s="84"/>
      <c r="AA12" s="84"/>
      <c r="AB12" s="58">
        <f>+'Fescue Established'!G22*(1-AB7)</f>
        <v>19.861774853053923</v>
      </c>
      <c r="AD12" s="83" t="s">
        <v>148</v>
      </c>
      <c r="AE12" s="84"/>
      <c r="AF12" s="84"/>
      <c r="AG12" s="84"/>
      <c r="AH12" s="84"/>
      <c r="AI12" s="58">
        <f>+Triticale!G22*AI5</f>
        <v>46.991837540844003</v>
      </c>
    </row>
    <row r="13" spans="2:35" x14ac:dyDescent="0.25">
      <c r="B13" s="12" t="s">
        <v>61</v>
      </c>
      <c r="C13" s="16"/>
      <c r="D13" s="16"/>
      <c r="E13" s="16"/>
      <c r="F13" s="16"/>
      <c r="G13" s="58">
        <f>+'Wheat Grain'!G27</f>
        <v>49.6</v>
      </c>
      <c r="I13" s="12" t="s">
        <v>61</v>
      </c>
      <c r="J13" s="16"/>
      <c r="K13" s="16"/>
      <c r="L13" s="16"/>
      <c r="M13" s="16"/>
      <c r="N13" s="58">
        <f>+'Wheat Dual  ~700Lb'!G24</f>
        <v>49.6</v>
      </c>
      <c r="O13" s="5"/>
      <c r="P13" s="12" t="s">
        <v>61</v>
      </c>
      <c r="Q13" s="16"/>
      <c r="R13" s="16"/>
      <c r="S13" s="16"/>
      <c r="T13" s="16"/>
      <c r="U13" s="58">
        <f>+'Wheat Dual ~800Lb'!G24</f>
        <v>31</v>
      </c>
      <c r="W13" s="83" t="s">
        <v>145</v>
      </c>
      <c r="AB13" s="58">
        <f>+U12*AB7+N13*AB7</f>
        <v>159.05555585164836</v>
      </c>
      <c r="AD13" s="83" t="s">
        <v>145</v>
      </c>
      <c r="AE13" s="84"/>
      <c r="AF13" s="84"/>
      <c r="AG13" s="84"/>
      <c r="AH13" s="84"/>
      <c r="AI13" s="58">
        <f>+N12*AI7</f>
        <v>148.45305410501251</v>
      </c>
    </row>
    <row r="14" spans="2:35" x14ac:dyDescent="0.25">
      <c r="B14" s="41" t="s">
        <v>33</v>
      </c>
      <c r="C14" s="47"/>
      <c r="D14" s="47"/>
      <c r="E14" s="47"/>
      <c r="F14" s="47"/>
      <c r="G14" s="59">
        <f>+G12+G13</f>
        <v>245.69787499999998</v>
      </c>
      <c r="I14" s="41" t="s">
        <v>33</v>
      </c>
      <c r="J14" s="47"/>
      <c r="K14" s="47"/>
      <c r="L14" s="47"/>
      <c r="M14" s="47"/>
      <c r="N14" s="59">
        <f>+N12+N13</f>
        <v>270.54309499999999</v>
      </c>
      <c r="O14" s="6"/>
      <c r="P14" s="41" t="s">
        <v>33</v>
      </c>
      <c r="Q14" s="47"/>
      <c r="R14" s="47"/>
      <c r="S14" s="47"/>
      <c r="T14" s="47"/>
      <c r="U14" s="59">
        <f>+U12+U13</f>
        <v>251.943095</v>
      </c>
      <c r="W14" s="87" t="s">
        <v>33</v>
      </c>
      <c r="X14" s="88"/>
      <c r="Y14" s="88"/>
      <c r="Z14" s="88"/>
      <c r="AA14" s="88"/>
      <c r="AB14" s="89">
        <f>+AB12+AB13</f>
        <v>178.91733070470229</v>
      </c>
      <c r="AD14" s="87" t="s">
        <v>33</v>
      </c>
      <c r="AE14" s="88"/>
      <c r="AF14" s="88"/>
      <c r="AG14" s="88"/>
      <c r="AH14" s="88"/>
      <c r="AI14" s="89">
        <f>+AI12+AI13</f>
        <v>195.4448916458565</v>
      </c>
    </row>
    <row r="15" spans="2:35" x14ac:dyDescent="0.25">
      <c r="B15" s="12"/>
      <c r="C15" s="16"/>
      <c r="D15" s="16"/>
      <c r="E15" s="16"/>
      <c r="F15" s="16"/>
      <c r="G15" s="13"/>
      <c r="I15" s="12"/>
      <c r="J15" s="16"/>
      <c r="K15" s="16"/>
      <c r="L15" s="16"/>
      <c r="M15" s="16"/>
      <c r="N15" s="13"/>
      <c r="P15" s="12"/>
      <c r="Q15" s="16"/>
      <c r="R15" s="16"/>
      <c r="S15" s="16"/>
      <c r="T15" s="16"/>
      <c r="U15" s="13"/>
      <c r="W15" s="83"/>
      <c r="X15" s="84"/>
      <c r="Y15" s="84"/>
      <c r="Z15" s="84"/>
      <c r="AA15" s="84"/>
      <c r="AB15" s="86"/>
      <c r="AD15" s="83"/>
      <c r="AE15" s="84"/>
      <c r="AF15" s="84"/>
      <c r="AG15" s="84"/>
      <c r="AH15" s="84"/>
      <c r="AI15" s="86"/>
    </row>
    <row r="16" spans="2:35" x14ac:dyDescent="0.25">
      <c r="B16" s="42" t="s">
        <v>74</v>
      </c>
      <c r="C16" s="55"/>
      <c r="D16" s="55"/>
      <c r="E16" s="55"/>
      <c r="F16" s="55"/>
      <c r="G16" s="97">
        <f>+G10-G14</f>
        <v>134.30212500000002</v>
      </c>
      <c r="H16" s="3"/>
      <c r="I16" s="42" t="s">
        <v>74</v>
      </c>
      <c r="J16" s="55"/>
      <c r="K16" s="55"/>
      <c r="L16" s="55"/>
      <c r="M16" s="55"/>
      <c r="N16" s="77">
        <f>+N10-N14</f>
        <v>151.08190500000001</v>
      </c>
      <c r="O16" s="6"/>
      <c r="P16" s="42" t="s">
        <v>74</v>
      </c>
      <c r="Q16" s="55"/>
      <c r="R16" s="55"/>
      <c r="S16" s="55"/>
      <c r="T16" s="55"/>
      <c r="U16" s="97">
        <f>+U10-U14</f>
        <v>96.89065500000001</v>
      </c>
      <c r="W16" s="42" t="s">
        <v>74</v>
      </c>
      <c r="X16" s="55"/>
      <c r="Y16" s="55"/>
      <c r="Z16" s="55"/>
      <c r="AA16" s="55"/>
      <c r="AB16" s="97">
        <f>+AB10-AB14</f>
        <v>143.81218852606696</v>
      </c>
      <c r="AD16" s="42" t="s">
        <v>74</v>
      </c>
      <c r="AE16" s="55"/>
      <c r="AF16" s="55"/>
      <c r="AG16" s="55"/>
      <c r="AH16" s="55"/>
      <c r="AI16" s="97">
        <f>+AI10-AI14</f>
        <v>155.2126980371246</v>
      </c>
    </row>
    <row r="17" spans="2:35" x14ac:dyDescent="0.25">
      <c r="B17" s="12"/>
      <c r="C17" s="16"/>
      <c r="D17" s="16"/>
      <c r="E17" s="16"/>
      <c r="F17" s="16"/>
      <c r="G17" s="13"/>
      <c r="I17" s="12"/>
      <c r="J17" s="16"/>
      <c r="K17" s="16"/>
      <c r="L17" s="16"/>
      <c r="M17" s="16"/>
      <c r="N17" s="13"/>
      <c r="P17" s="12"/>
      <c r="Q17" s="16"/>
      <c r="R17" s="16"/>
      <c r="S17" s="16"/>
      <c r="T17" s="16"/>
      <c r="U17" s="78"/>
      <c r="W17" s="83"/>
      <c r="X17" s="84"/>
      <c r="Y17" s="84"/>
      <c r="Z17" s="84"/>
      <c r="AA17" s="84"/>
      <c r="AB17" s="79"/>
      <c r="AD17" s="83"/>
      <c r="AE17" s="84"/>
      <c r="AF17" s="84"/>
      <c r="AG17" s="84"/>
      <c r="AH17" s="84"/>
      <c r="AI17" s="79"/>
    </row>
    <row r="18" spans="2:35" x14ac:dyDescent="0.25">
      <c r="B18" s="12" t="s">
        <v>62</v>
      </c>
      <c r="C18" s="16"/>
      <c r="D18" s="16"/>
      <c r="E18" s="16"/>
      <c r="F18" s="16"/>
      <c r="G18" s="58">
        <f>+'Wheat Grain'!G47</f>
        <v>64.67</v>
      </c>
      <c r="I18" s="12" t="s">
        <v>62</v>
      </c>
      <c r="J18" s="16"/>
      <c r="K18" s="16"/>
      <c r="L18" s="16"/>
      <c r="M18" s="16"/>
      <c r="N18" s="58">
        <f>+'Wheat Dual  ~700Lb'!G47</f>
        <v>64.67</v>
      </c>
      <c r="O18" s="5"/>
      <c r="P18" s="12" t="s">
        <v>62</v>
      </c>
      <c r="Q18" s="16"/>
      <c r="R18" s="16"/>
      <c r="S18" s="16"/>
      <c r="T18" s="16"/>
      <c r="U18" s="99">
        <f>+'Wheat Dual ~800Lb'!G47</f>
        <v>64.67</v>
      </c>
      <c r="W18" s="83" t="s">
        <v>62</v>
      </c>
      <c r="X18" s="84"/>
      <c r="Y18" s="84"/>
      <c r="Z18" s="84"/>
      <c r="AA18" s="84"/>
      <c r="AB18" s="99">
        <f>+'Fescue Established'!G47*AB5+U18*AB7</f>
        <v>72.273910542582414</v>
      </c>
      <c r="AD18" s="83" t="s">
        <v>62</v>
      </c>
      <c r="AE18" s="84"/>
      <c r="AF18" s="84"/>
      <c r="AG18" s="84"/>
      <c r="AH18" s="84"/>
      <c r="AI18" s="99">
        <f>+Triticale!G47*AI5+U18*AI7</f>
        <v>58.196710998331483</v>
      </c>
    </row>
    <row r="19" spans="2:35" x14ac:dyDescent="0.25">
      <c r="B19" s="12"/>
      <c r="C19" s="16"/>
      <c r="D19" s="16"/>
      <c r="E19" s="16"/>
      <c r="F19" s="16"/>
      <c r="G19" s="54"/>
      <c r="I19" s="12"/>
      <c r="J19" s="16"/>
      <c r="K19" s="16"/>
      <c r="L19" s="16"/>
      <c r="M19" s="16"/>
      <c r="N19" s="54"/>
      <c r="P19" s="12"/>
      <c r="Q19" s="16"/>
      <c r="R19" s="16"/>
      <c r="S19" s="16"/>
      <c r="T19" s="16"/>
      <c r="U19" s="100"/>
      <c r="W19" s="83"/>
      <c r="X19" s="84"/>
      <c r="Y19" s="84"/>
      <c r="Z19" s="84"/>
      <c r="AA19" s="84"/>
      <c r="AB19" s="79"/>
      <c r="AD19" s="83"/>
      <c r="AE19" s="84"/>
      <c r="AF19" s="84"/>
      <c r="AG19" s="84"/>
      <c r="AH19" s="84"/>
      <c r="AI19" s="79"/>
    </row>
    <row r="20" spans="2:35" ht="15.75" thickBot="1" x14ac:dyDescent="0.3">
      <c r="B20" s="44" t="s">
        <v>73</v>
      </c>
      <c r="C20" s="56"/>
      <c r="D20" s="56"/>
      <c r="E20" s="56"/>
      <c r="F20" s="56"/>
      <c r="G20" s="98">
        <f>+G16-G18</f>
        <v>69.632125000000016</v>
      </c>
      <c r="I20" s="44" t="s">
        <v>73</v>
      </c>
      <c r="J20" s="56"/>
      <c r="K20" s="56"/>
      <c r="L20" s="56"/>
      <c r="M20" s="56"/>
      <c r="N20" s="98">
        <f>+N16-N18</f>
        <v>86.411905000000004</v>
      </c>
      <c r="O20" s="5"/>
      <c r="P20" s="44" t="s">
        <v>73</v>
      </c>
      <c r="Q20" s="56"/>
      <c r="R20" s="56"/>
      <c r="S20" s="56"/>
      <c r="T20" s="56"/>
      <c r="U20" s="98">
        <f>+U16-U18</f>
        <v>32.220655000000008</v>
      </c>
      <c r="W20" s="44" t="s">
        <v>73</v>
      </c>
      <c r="X20" s="56"/>
      <c r="Y20" s="56"/>
      <c r="Z20" s="56"/>
      <c r="AA20" s="56"/>
      <c r="AB20" s="98">
        <f>+AB16-AB18</f>
        <v>71.538277983484548</v>
      </c>
      <c r="AD20" s="44" t="s">
        <v>73</v>
      </c>
      <c r="AE20" s="56"/>
      <c r="AF20" s="56"/>
      <c r="AG20" s="56"/>
      <c r="AH20" s="56"/>
      <c r="AI20" s="98">
        <f>+AI16-AI18</f>
        <v>97.015987038793114</v>
      </c>
    </row>
    <row r="21" spans="2:35" x14ac:dyDescent="0.25">
      <c r="U21" s="94"/>
    </row>
    <row r="22" spans="2:35" ht="4.9000000000000004" customHeight="1" thickBot="1" x14ac:dyDescent="0.3"/>
    <row r="23" spans="2:35" ht="16.5" thickTop="1" thickBot="1" x14ac:dyDescent="0.3">
      <c r="B23" s="352" t="s">
        <v>117</v>
      </c>
      <c r="C23" s="353"/>
      <c r="D23" s="353"/>
      <c r="E23" s="353"/>
      <c r="F23" s="353"/>
      <c r="G23" s="354"/>
      <c r="I23" s="352" t="s">
        <v>117</v>
      </c>
      <c r="J23" s="353"/>
      <c r="K23" s="353"/>
      <c r="L23" s="353"/>
      <c r="M23" s="353"/>
      <c r="N23" s="354"/>
      <c r="P23" s="352" t="s">
        <v>117</v>
      </c>
      <c r="Q23" s="353"/>
      <c r="R23" s="353"/>
      <c r="S23" s="353"/>
      <c r="T23" s="353"/>
      <c r="U23" s="354"/>
      <c r="W23" s="352" t="s">
        <v>117</v>
      </c>
      <c r="X23" s="353"/>
      <c r="Y23" s="353"/>
      <c r="Z23" s="353"/>
      <c r="AA23" s="353"/>
      <c r="AB23" s="354"/>
      <c r="AD23" s="352" t="s">
        <v>117</v>
      </c>
      <c r="AE23" s="353"/>
      <c r="AF23" s="353"/>
      <c r="AG23" s="353"/>
      <c r="AH23" s="353"/>
      <c r="AI23" s="354"/>
    </row>
    <row r="24" spans="2:35" ht="15.75" thickTop="1" x14ac:dyDescent="0.25">
      <c r="B24" s="60" t="s">
        <v>58</v>
      </c>
      <c r="C24" s="361" t="s">
        <v>114</v>
      </c>
      <c r="D24" s="362"/>
      <c r="E24" s="362" t="s">
        <v>60</v>
      </c>
      <c r="F24" s="362"/>
      <c r="G24" s="363"/>
      <c r="I24" s="60" t="s">
        <v>58</v>
      </c>
      <c r="J24" s="361" t="s">
        <v>152</v>
      </c>
      <c r="K24" s="362"/>
      <c r="L24" s="362" t="s">
        <v>60</v>
      </c>
      <c r="M24" s="362"/>
      <c r="N24" s="363"/>
      <c r="O24" s="7"/>
      <c r="P24" s="60" t="s">
        <v>58</v>
      </c>
      <c r="Q24" s="361" t="s">
        <v>152</v>
      </c>
      <c r="R24" s="362"/>
      <c r="S24" s="362" t="s">
        <v>60</v>
      </c>
      <c r="T24" s="362"/>
      <c r="U24" s="363"/>
      <c r="W24" s="60" t="s">
        <v>58</v>
      </c>
      <c r="X24" s="361" t="s">
        <v>152</v>
      </c>
      <c r="Y24" s="362"/>
      <c r="Z24" s="362" t="s">
        <v>60</v>
      </c>
      <c r="AA24" s="362"/>
      <c r="AB24" s="363"/>
      <c r="AD24" s="60" t="s">
        <v>58</v>
      </c>
      <c r="AE24" s="361" t="s">
        <v>152</v>
      </c>
      <c r="AF24" s="362"/>
      <c r="AG24" s="362" t="s">
        <v>60</v>
      </c>
      <c r="AH24" s="362"/>
      <c r="AI24" s="363"/>
    </row>
    <row r="25" spans="2:35" ht="15.75" thickBot="1" x14ac:dyDescent="0.3">
      <c r="B25" s="61"/>
      <c r="C25" s="74">
        <f>+E25*0.9</f>
        <v>8.5500000000000007</v>
      </c>
      <c r="D25" s="75">
        <f>+E25*0.95</f>
        <v>9.0250000000000004</v>
      </c>
      <c r="E25" s="80">
        <f>+G5</f>
        <v>9.5</v>
      </c>
      <c r="F25" s="75">
        <f>+E25*1.05</f>
        <v>9.9749999999999996</v>
      </c>
      <c r="G25" s="76">
        <f>+E25*1.1</f>
        <v>10.450000000000001</v>
      </c>
      <c r="I25" s="61"/>
      <c r="J25" s="74">
        <f>+L25*0.9</f>
        <v>8.5500000000000007</v>
      </c>
      <c r="K25" s="75">
        <f>+L25*0.95</f>
        <v>9.0250000000000004</v>
      </c>
      <c r="L25" s="80">
        <f>+N5</f>
        <v>9.5</v>
      </c>
      <c r="M25" s="75">
        <f>+L25*1.05</f>
        <v>9.9749999999999996</v>
      </c>
      <c r="N25" s="76">
        <f>+L25*1.1</f>
        <v>10.450000000000001</v>
      </c>
      <c r="O25" s="9"/>
      <c r="P25" s="61"/>
      <c r="Q25" s="74">
        <f>+S25*0.9</f>
        <v>8.5500000000000007</v>
      </c>
      <c r="R25" s="75">
        <f>+S25*0.95</f>
        <v>9.0250000000000004</v>
      </c>
      <c r="S25" s="80">
        <f>+U5</f>
        <v>9.5</v>
      </c>
      <c r="T25" s="75">
        <f>+S25*1.05</f>
        <v>9.9749999999999996</v>
      </c>
      <c r="U25" s="76">
        <f>+S25*1.1</f>
        <v>10.450000000000001</v>
      </c>
      <c r="W25" s="61"/>
      <c r="X25" s="74">
        <f>+Q25</f>
        <v>8.5500000000000007</v>
      </c>
      <c r="Y25" s="74">
        <f>+R25</f>
        <v>9.0250000000000004</v>
      </c>
      <c r="Z25" s="74">
        <f>+S25</f>
        <v>9.5</v>
      </c>
      <c r="AA25" s="74">
        <f>+T25</f>
        <v>9.9749999999999996</v>
      </c>
      <c r="AB25" s="74">
        <f>+U25</f>
        <v>10.450000000000001</v>
      </c>
      <c r="AD25" s="61"/>
      <c r="AE25" s="74">
        <f>+X25</f>
        <v>8.5500000000000007</v>
      </c>
      <c r="AF25" s="74">
        <f>+Y25</f>
        <v>9.0250000000000004</v>
      </c>
      <c r="AG25" s="74">
        <f>+Z25</f>
        <v>9.5</v>
      </c>
      <c r="AH25" s="74">
        <f>+AA25</f>
        <v>9.9749999999999996</v>
      </c>
      <c r="AI25" s="74">
        <f>+AB25</f>
        <v>10.450000000000001</v>
      </c>
    </row>
    <row r="26" spans="2:35" ht="15.75" thickTop="1" x14ac:dyDescent="0.25">
      <c r="B26" s="62">
        <f>+B28*0.8</f>
        <v>32</v>
      </c>
      <c r="C26" s="63">
        <f t="shared" ref="C26:G30" si="0">+(C$25*$B26-$G$14-$G$18)</f>
        <v>-36.767874999999961</v>
      </c>
      <c r="D26" s="64">
        <f t="shared" si="0"/>
        <v>-21.567874999999972</v>
      </c>
      <c r="E26" s="64">
        <f t="shared" si="0"/>
        <v>-6.3678749999999837</v>
      </c>
      <c r="F26" s="64">
        <f t="shared" si="0"/>
        <v>8.8321250000000049</v>
      </c>
      <c r="G26" s="65">
        <f t="shared" si="0"/>
        <v>24.03212500000005</v>
      </c>
      <c r="I26" s="62">
        <f>+I28*0.8</f>
        <v>28</v>
      </c>
      <c r="J26" s="63">
        <f>+(J$25*$I26+$N$9-$N$14-$N$18)</f>
        <v>-6.6880949999999615</v>
      </c>
      <c r="K26" s="64">
        <f t="shared" ref="J26:N30" si="1">+(K$25*$I26+$N$9-$N$14-$N$18)</f>
        <v>6.6119050000000499</v>
      </c>
      <c r="L26" s="64">
        <f t="shared" si="1"/>
        <v>19.911905000000004</v>
      </c>
      <c r="M26" s="64">
        <f t="shared" si="1"/>
        <v>33.211905000000016</v>
      </c>
      <c r="N26" s="65">
        <f t="shared" si="1"/>
        <v>46.511905000000027</v>
      </c>
      <c r="P26" s="62">
        <f>+P28*0.8</f>
        <v>28</v>
      </c>
      <c r="Q26" s="63">
        <f t="shared" ref="Q26:U30" si="2">+(Q$25*$P26*$U$7+$U$9-$U$14-$U$18)</f>
        <v>-25.966844999999992</v>
      </c>
      <c r="R26" s="64">
        <f t="shared" si="2"/>
        <v>-17.654344999999992</v>
      </c>
      <c r="S26" s="64">
        <f t="shared" si="2"/>
        <v>-9.3418449999999922</v>
      </c>
      <c r="T26" s="64">
        <f t="shared" si="2"/>
        <v>-1.0293449999999922</v>
      </c>
      <c r="U26" s="65">
        <f t="shared" si="2"/>
        <v>7.2831550000000078</v>
      </c>
      <c r="W26" s="62">
        <f>+P26</f>
        <v>28</v>
      </c>
      <c r="X26" s="63">
        <f>+(X$25*$P26*$AB$7+$AB$9-$AB$14-$AB$18)</f>
        <v>16.803662598869167</v>
      </c>
      <c r="Y26" s="64">
        <f t="shared" ref="Y26:AB26" si="3">+(Y$25*$P26*$AB$7+$AB$9-$AB$14-$AB$18)</f>
        <v>24.622893368099952</v>
      </c>
      <c r="Z26" s="64">
        <f t="shared" si="3"/>
        <v>32.44212413733068</v>
      </c>
      <c r="AA26" s="64">
        <f t="shared" si="3"/>
        <v>40.261354906561465</v>
      </c>
      <c r="AB26" s="65">
        <f t="shared" si="3"/>
        <v>48.08058567579225</v>
      </c>
      <c r="AD26" s="62">
        <f>+W26</f>
        <v>28</v>
      </c>
      <c r="AE26" s="63">
        <f>+(AE$25*$P26*$AI$7+$AI$9-$AI$14-$AI$18)</f>
        <v>34.461511927558419</v>
      </c>
      <c r="AF26" s="64">
        <f t="shared" ref="AF26:AI26" si="4">+(AF$25*$P26*$AI$7+$AI$9-$AI$14-$AI$18)</f>
        <v>43.397865514877637</v>
      </c>
      <c r="AG26" s="64">
        <f t="shared" si="4"/>
        <v>52.334219102196911</v>
      </c>
      <c r="AH26" s="64">
        <f t="shared" si="4"/>
        <v>61.270572689516129</v>
      </c>
      <c r="AI26" s="65">
        <f t="shared" si="4"/>
        <v>70.206926276835404</v>
      </c>
    </row>
    <row r="27" spans="2:35" ht="15.75" thickBot="1" x14ac:dyDescent="0.3">
      <c r="B27" s="66">
        <f>+B28*0.9</f>
        <v>36</v>
      </c>
      <c r="C27" s="67">
        <f t="shared" si="0"/>
        <v>-2.5678749999999724</v>
      </c>
      <c r="D27" s="68">
        <f t="shared" si="0"/>
        <v>14.53212500000005</v>
      </c>
      <c r="E27" s="135">
        <f t="shared" si="0"/>
        <v>31.632125000000016</v>
      </c>
      <c r="F27" s="68">
        <f t="shared" si="0"/>
        <v>48.732124999999982</v>
      </c>
      <c r="G27" s="69">
        <f t="shared" si="0"/>
        <v>65.832125000000062</v>
      </c>
      <c r="I27" s="66">
        <f>+I28*0.9</f>
        <v>31.5</v>
      </c>
      <c r="J27" s="67">
        <f t="shared" si="1"/>
        <v>23.23690500000005</v>
      </c>
      <c r="K27" s="68">
        <f t="shared" si="1"/>
        <v>38.199405000000027</v>
      </c>
      <c r="L27" s="135">
        <f t="shared" si="1"/>
        <v>53.161905000000004</v>
      </c>
      <c r="M27" s="68">
        <f t="shared" si="1"/>
        <v>68.124404999999982</v>
      </c>
      <c r="N27" s="69">
        <f t="shared" si="1"/>
        <v>83.086905000000016</v>
      </c>
      <c r="P27" s="66">
        <f>+P28*0.9</f>
        <v>31.5</v>
      </c>
      <c r="Q27" s="67">
        <f t="shared" si="2"/>
        <v>-7.2637199999999922</v>
      </c>
      <c r="R27" s="68">
        <f t="shared" si="2"/>
        <v>2.0878425000000078</v>
      </c>
      <c r="S27" s="135">
        <f t="shared" si="2"/>
        <v>11.439405000000008</v>
      </c>
      <c r="T27" s="68">
        <f t="shared" si="2"/>
        <v>20.790967500000008</v>
      </c>
      <c r="U27" s="69">
        <f t="shared" si="2"/>
        <v>30.142530000000008</v>
      </c>
      <c r="W27" s="62">
        <f>+P27</f>
        <v>31.5</v>
      </c>
      <c r="X27" s="67">
        <f t="shared" ref="X27:AB30" si="5">+(X$25*$P27*$AB$7+$AB$9-$AB$14-$AB$18)</f>
        <v>34.396931829638405</v>
      </c>
      <c r="Y27" s="68">
        <f t="shared" si="5"/>
        <v>43.193566445023023</v>
      </c>
      <c r="Z27" s="135">
        <f t="shared" si="5"/>
        <v>51.990201060407642</v>
      </c>
      <c r="AA27" s="68">
        <f t="shared" si="5"/>
        <v>60.786835675792204</v>
      </c>
      <c r="AB27" s="69">
        <f t="shared" si="5"/>
        <v>69.58347029117688</v>
      </c>
      <c r="AD27" s="62">
        <f>+W27</f>
        <v>31.5</v>
      </c>
      <c r="AE27" s="67">
        <f t="shared" ref="AE27:AI30" si="6">+(AE$25*$P27*$AI$7+$AI$9-$AI$14-$AI$18)</f>
        <v>54.568307499026716</v>
      </c>
      <c r="AF27" s="68">
        <f t="shared" si="6"/>
        <v>64.621705284760864</v>
      </c>
      <c r="AG27" s="135">
        <f t="shared" si="6"/>
        <v>74.675103070495013</v>
      </c>
      <c r="AH27" s="68">
        <f t="shared" si="6"/>
        <v>84.728500856229161</v>
      </c>
      <c r="AI27" s="69">
        <f t="shared" si="6"/>
        <v>94.781898641963309</v>
      </c>
    </row>
    <row r="28" spans="2:35" ht="15.75" thickBot="1" x14ac:dyDescent="0.3">
      <c r="B28" s="81">
        <f>+G3</f>
        <v>40</v>
      </c>
      <c r="C28" s="67">
        <f t="shared" si="0"/>
        <v>31.632125000000016</v>
      </c>
      <c r="D28" s="133">
        <f t="shared" si="0"/>
        <v>50.632125000000016</v>
      </c>
      <c r="E28" s="137">
        <f t="shared" si="0"/>
        <v>69.632125000000016</v>
      </c>
      <c r="F28" s="134">
        <f t="shared" si="0"/>
        <v>88.632125000000016</v>
      </c>
      <c r="G28" s="69">
        <f t="shared" si="0"/>
        <v>107.63212500000007</v>
      </c>
      <c r="I28" s="81">
        <f>+N3</f>
        <v>35</v>
      </c>
      <c r="J28" s="67">
        <f t="shared" si="1"/>
        <v>53.161905000000004</v>
      </c>
      <c r="K28" s="133">
        <f t="shared" si="1"/>
        <v>69.786905000000004</v>
      </c>
      <c r="L28" s="137">
        <f t="shared" si="1"/>
        <v>86.411905000000004</v>
      </c>
      <c r="M28" s="134">
        <f t="shared" si="1"/>
        <v>103.036905</v>
      </c>
      <c r="N28" s="69">
        <f t="shared" si="1"/>
        <v>119.66190500000006</v>
      </c>
      <c r="P28" s="81">
        <f>+U3</f>
        <v>35</v>
      </c>
      <c r="Q28" s="67">
        <f t="shared" si="2"/>
        <v>11.439405000000008</v>
      </c>
      <c r="R28" s="133">
        <f t="shared" si="2"/>
        <v>21.830030000000008</v>
      </c>
      <c r="S28" s="137">
        <f t="shared" si="2"/>
        <v>32.220655000000008</v>
      </c>
      <c r="T28" s="134">
        <f t="shared" si="2"/>
        <v>42.611280000000008</v>
      </c>
      <c r="U28" s="69">
        <f t="shared" si="2"/>
        <v>53.001905000000008</v>
      </c>
      <c r="W28" s="62">
        <f>+P28</f>
        <v>35</v>
      </c>
      <c r="X28" s="67">
        <f t="shared" si="5"/>
        <v>51.990201060407642</v>
      </c>
      <c r="Y28" s="133">
        <f t="shared" si="5"/>
        <v>61.764239521946095</v>
      </c>
      <c r="Z28" s="137">
        <f t="shared" si="5"/>
        <v>71.538277983484548</v>
      </c>
      <c r="AA28" s="134">
        <f t="shared" si="5"/>
        <v>81.312316445023001</v>
      </c>
      <c r="AB28" s="69">
        <f t="shared" si="5"/>
        <v>91.08635490656151</v>
      </c>
      <c r="AD28" s="62">
        <f>+W28</f>
        <v>35</v>
      </c>
      <c r="AE28" s="67">
        <f>+(AE$25*$P28*$AI$7+$AI$9-$AI$14-$AI$18)</f>
        <v>74.675103070495013</v>
      </c>
      <c r="AF28" s="133">
        <f t="shared" si="6"/>
        <v>85.845545054644035</v>
      </c>
      <c r="AG28" s="137">
        <f t="shared" si="6"/>
        <v>97.015987038793114</v>
      </c>
      <c r="AH28" s="134">
        <f t="shared" si="6"/>
        <v>108.18642902294219</v>
      </c>
      <c r="AI28" s="69">
        <f t="shared" si="6"/>
        <v>119.35687100709127</v>
      </c>
    </row>
    <row r="29" spans="2:35" x14ac:dyDescent="0.25">
      <c r="B29" s="66">
        <f>+B28*1.1</f>
        <v>44</v>
      </c>
      <c r="C29" s="67">
        <f t="shared" si="0"/>
        <v>65.832125000000062</v>
      </c>
      <c r="D29" s="68">
        <f t="shared" si="0"/>
        <v>86.732125000000039</v>
      </c>
      <c r="E29" s="136">
        <f t="shared" si="0"/>
        <v>107.63212500000002</v>
      </c>
      <c r="F29" s="68">
        <f t="shared" si="0"/>
        <v>128.53212500000001</v>
      </c>
      <c r="G29" s="69">
        <f t="shared" si="0"/>
        <v>149.4321250000001</v>
      </c>
      <c r="I29" s="66">
        <f>+I28*1.1</f>
        <v>38.5</v>
      </c>
      <c r="J29" s="67">
        <f t="shared" si="1"/>
        <v>83.086905000000016</v>
      </c>
      <c r="K29" s="68">
        <f t="shared" si="1"/>
        <v>101.37440500000004</v>
      </c>
      <c r="L29" s="136">
        <f t="shared" si="1"/>
        <v>119.661905</v>
      </c>
      <c r="M29" s="68">
        <f t="shared" si="1"/>
        <v>137.94940499999996</v>
      </c>
      <c r="N29" s="69">
        <f t="shared" si="1"/>
        <v>156.23690500000004</v>
      </c>
      <c r="P29" s="66">
        <f>+P28*1.1</f>
        <v>38.5</v>
      </c>
      <c r="Q29" s="67">
        <f t="shared" si="2"/>
        <v>30.142530000000008</v>
      </c>
      <c r="R29" s="68">
        <f t="shared" si="2"/>
        <v>41.572217500000008</v>
      </c>
      <c r="S29" s="136">
        <f t="shared" si="2"/>
        <v>53.001905000000008</v>
      </c>
      <c r="T29" s="68">
        <f t="shared" si="2"/>
        <v>64.431592500000008</v>
      </c>
      <c r="U29" s="69">
        <f t="shared" si="2"/>
        <v>75.861280000000008</v>
      </c>
      <c r="W29" s="66">
        <f>+W28*1.1</f>
        <v>38.5</v>
      </c>
      <c r="X29" s="67">
        <f t="shared" si="5"/>
        <v>69.58347029117688</v>
      </c>
      <c r="Y29" s="68">
        <f t="shared" si="5"/>
        <v>80.334912598869167</v>
      </c>
      <c r="Z29" s="136">
        <f t="shared" si="5"/>
        <v>91.086354906561454</v>
      </c>
      <c r="AA29" s="68">
        <f t="shared" si="5"/>
        <v>101.83779721425374</v>
      </c>
      <c r="AB29" s="69">
        <f t="shared" si="5"/>
        <v>112.58923952194608</v>
      </c>
      <c r="AD29" s="62">
        <f>+W29</f>
        <v>38.5</v>
      </c>
      <c r="AE29" s="67">
        <f t="shared" si="6"/>
        <v>94.781898641963309</v>
      </c>
      <c r="AF29" s="68">
        <f t="shared" si="6"/>
        <v>107.06938482452726</v>
      </c>
      <c r="AG29" s="136">
        <f t="shared" si="6"/>
        <v>119.35687100709121</v>
      </c>
      <c r="AH29" s="68">
        <f t="shared" si="6"/>
        <v>131.64435718965518</v>
      </c>
      <c r="AI29" s="69">
        <f t="shared" si="6"/>
        <v>143.93184337221919</v>
      </c>
    </row>
    <row r="30" spans="2:35" ht="15.75" thickBot="1" x14ac:dyDescent="0.3">
      <c r="B30" s="70">
        <f>+B28*1.2</f>
        <v>48</v>
      </c>
      <c r="C30" s="71">
        <f t="shared" si="0"/>
        <v>100.03212500000005</v>
      </c>
      <c r="D30" s="72">
        <f t="shared" si="0"/>
        <v>122.83212500000006</v>
      </c>
      <c r="E30" s="72">
        <f t="shared" si="0"/>
        <v>145.63212500000003</v>
      </c>
      <c r="F30" s="72">
        <f t="shared" si="0"/>
        <v>168.43212499999998</v>
      </c>
      <c r="G30" s="73">
        <f t="shared" si="0"/>
        <v>191.23212500000005</v>
      </c>
      <c r="I30" s="70">
        <f>+I28*1.2</f>
        <v>42</v>
      </c>
      <c r="J30" s="71">
        <f t="shared" si="1"/>
        <v>113.01190500000003</v>
      </c>
      <c r="K30" s="72">
        <f t="shared" si="1"/>
        <v>132.961905</v>
      </c>
      <c r="L30" s="72">
        <f t="shared" si="1"/>
        <v>152.91190499999999</v>
      </c>
      <c r="M30" s="72">
        <f t="shared" si="1"/>
        <v>172.86190499999998</v>
      </c>
      <c r="N30" s="73">
        <f t="shared" si="1"/>
        <v>192.81190500000008</v>
      </c>
      <c r="P30" s="70">
        <f>+P28*1.2</f>
        <v>42</v>
      </c>
      <c r="Q30" s="71">
        <f t="shared" si="2"/>
        <v>48.845655000000008</v>
      </c>
      <c r="R30" s="72">
        <f t="shared" si="2"/>
        <v>61.314405000000008</v>
      </c>
      <c r="S30" s="72">
        <f t="shared" si="2"/>
        <v>73.783155000000008</v>
      </c>
      <c r="T30" s="72">
        <f t="shared" si="2"/>
        <v>86.251905000000008</v>
      </c>
      <c r="U30" s="73">
        <f t="shared" si="2"/>
        <v>98.720655000000008</v>
      </c>
      <c r="W30" s="70">
        <f>+W28*1.2</f>
        <v>42</v>
      </c>
      <c r="X30" s="71">
        <f t="shared" si="5"/>
        <v>87.176739521946118</v>
      </c>
      <c r="Y30" s="72">
        <f t="shared" si="5"/>
        <v>98.905585675792238</v>
      </c>
      <c r="Z30" s="72">
        <f t="shared" si="5"/>
        <v>110.63443182963842</v>
      </c>
      <c r="AA30" s="72">
        <f t="shared" si="5"/>
        <v>122.36327798348454</v>
      </c>
      <c r="AB30" s="73">
        <f t="shared" si="5"/>
        <v>134.0921241373307</v>
      </c>
      <c r="AD30" s="70">
        <f>+AD28*1.2</f>
        <v>42</v>
      </c>
      <c r="AE30" s="71">
        <f t="shared" si="6"/>
        <v>114.88869421343161</v>
      </c>
      <c r="AF30" s="72">
        <f t="shared" si="6"/>
        <v>128.2932245944105</v>
      </c>
      <c r="AG30" s="72">
        <f t="shared" si="6"/>
        <v>141.69775497538933</v>
      </c>
      <c r="AH30" s="72">
        <f t="shared" si="6"/>
        <v>155.10228535636821</v>
      </c>
      <c r="AI30" s="73">
        <f t="shared" si="6"/>
        <v>168.5068157373471</v>
      </c>
    </row>
    <row r="31" spans="2:35" ht="16.5" thickTop="1" thickBot="1" x14ac:dyDescent="0.3">
      <c r="B31" s="92"/>
      <c r="C31" s="91"/>
      <c r="D31" s="91"/>
      <c r="E31" s="91"/>
      <c r="F31" s="91"/>
      <c r="G31" s="91"/>
      <c r="I31" s="92"/>
      <c r="J31" s="91"/>
      <c r="K31" s="91"/>
      <c r="L31" s="91"/>
      <c r="M31" s="91"/>
      <c r="N31" s="91"/>
      <c r="P31" s="92"/>
      <c r="Q31" s="91"/>
      <c r="R31" s="91"/>
      <c r="S31" s="91"/>
      <c r="T31" s="91"/>
      <c r="U31" s="91"/>
      <c r="W31" s="92"/>
      <c r="X31" s="91"/>
      <c r="Y31" s="91"/>
      <c r="Z31" s="91"/>
      <c r="AA31" s="91"/>
      <c r="AB31" s="91"/>
      <c r="AD31" s="92"/>
      <c r="AE31" s="91"/>
      <c r="AF31" s="91"/>
      <c r="AG31" s="91"/>
      <c r="AH31" s="91"/>
      <c r="AI31" s="91"/>
    </row>
    <row r="32" spans="2:35" ht="16.5" thickTop="1" thickBot="1" x14ac:dyDescent="0.3">
      <c r="B32" s="92"/>
      <c r="C32" s="91"/>
      <c r="D32" s="91"/>
      <c r="E32" s="91"/>
      <c r="F32" s="91"/>
      <c r="G32" s="91"/>
      <c r="I32" s="352" t="s">
        <v>117</v>
      </c>
      <c r="J32" s="353"/>
      <c r="K32" s="353"/>
      <c r="L32" s="353"/>
      <c r="M32" s="353"/>
      <c r="N32" s="354"/>
      <c r="P32" s="352" t="s">
        <v>117</v>
      </c>
      <c r="Q32" s="353"/>
      <c r="R32" s="353"/>
      <c r="S32" s="353"/>
      <c r="T32" s="353"/>
      <c r="U32" s="354"/>
      <c r="W32" s="352" t="s">
        <v>117</v>
      </c>
      <c r="X32" s="353"/>
      <c r="Y32" s="353"/>
      <c r="Z32" s="353"/>
      <c r="AA32" s="353"/>
      <c r="AB32" s="354"/>
      <c r="AD32" s="352" t="s">
        <v>117</v>
      </c>
      <c r="AE32" s="353"/>
      <c r="AF32" s="353"/>
      <c r="AG32" s="353"/>
      <c r="AH32" s="353"/>
      <c r="AI32" s="354"/>
    </row>
    <row r="33" spans="2:35" ht="15.75" thickTop="1" x14ac:dyDescent="0.25">
      <c r="B33" s="92"/>
      <c r="C33" s="91"/>
      <c r="D33" s="91"/>
      <c r="E33" s="91"/>
      <c r="F33" s="91"/>
      <c r="G33" s="91"/>
      <c r="I33" s="60" t="s">
        <v>58</v>
      </c>
      <c r="J33" s="361" t="s">
        <v>153</v>
      </c>
      <c r="K33" s="362"/>
      <c r="L33" s="362" t="s">
        <v>60</v>
      </c>
      <c r="M33" s="362"/>
      <c r="N33" s="363"/>
      <c r="O33" s="7"/>
      <c r="P33" s="60" t="s">
        <v>58</v>
      </c>
      <c r="Q33" s="361" t="s">
        <v>153</v>
      </c>
      <c r="R33" s="362"/>
      <c r="S33" s="362" t="s">
        <v>60</v>
      </c>
      <c r="T33" s="362"/>
      <c r="U33" s="363"/>
      <c r="W33" s="60" t="s">
        <v>58</v>
      </c>
      <c r="X33" s="361" t="s">
        <v>153</v>
      </c>
      <c r="Y33" s="362"/>
      <c r="Z33" s="362" t="s">
        <v>60</v>
      </c>
      <c r="AA33" s="362"/>
      <c r="AB33" s="363"/>
      <c r="AD33" s="60" t="s">
        <v>58</v>
      </c>
      <c r="AE33" s="361" t="s">
        <v>153</v>
      </c>
      <c r="AF33" s="362"/>
      <c r="AG33" s="362" t="s">
        <v>60</v>
      </c>
      <c r="AH33" s="362"/>
      <c r="AI33" s="363"/>
    </row>
    <row r="34" spans="2:35" ht="15.75" thickBot="1" x14ac:dyDescent="0.3">
      <c r="B34" s="92"/>
      <c r="C34" s="91"/>
      <c r="D34" s="91"/>
      <c r="E34" s="91"/>
      <c r="F34" s="91"/>
      <c r="G34" s="91"/>
      <c r="I34" s="61"/>
      <c r="J34" s="169">
        <v>0.4</v>
      </c>
      <c r="K34" s="170">
        <v>0.5</v>
      </c>
      <c r="L34" s="171">
        <v>0.55000000000000004</v>
      </c>
      <c r="M34" s="170">
        <v>0.65</v>
      </c>
      <c r="N34" s="172">
        <v>0.75</v>
      </c>
      <c r="O34" s="9"/>
      <c r="P34" s="61"/>
      <c r="Q34" s="74">
        <f>+J34</f>
        <v>0.4</v>
      </c>
      <c r="R34" s="75">
        <f>+K34</f>
        <v>0.5</v>
      </c>
      <c r="S34" s="75">
        <f t="shared" ref="S34:U34" si="7">+L34</f>
        <v>0.55000000000000004</v>
      </c>
      <c r="T34" s="75">
        <f t="shared" si="7"/>
        <v>0.65</v>
      </c>
      <c r="U34" s="75">
        <f t="shared" si="7"/>
        <v>0.75</v>
      </c>
      <c r="W34" s="61"/>
      <c r="X34" s="74">
        <f>+Q34</f>
        <v>0.4</v>
      </c>
      <c r="Y34" s="75">
        <f>+R34</f>
        <v>0.5</v>
      </c>
      <c r="Z34" s="75">
        <f t="shared" ref="Z34" si="8">+S34</f>
        <v>0.55000000000000004</v>
      </c>
      <c r="AA34" s="75">
        <f t="shared" ref="AA34" si="9">+T34</f>
        <v>0.65</v>
      </c>
      <c r="AB34" s="75">
        <f t="shared" ref="AB34" si="10">+U34</f>
        <v>0.75</v>
      </c>
      <c r="AD34" s="61"/>
      <c r="AE34" s="74">
        <f>+X34</f>
        <v>0.4</v>
      </c>
      <c r="AF34" s="75">
        <f>+Y34</f>
        <v>0.5</v>
      </c>
      <c r="AG34" s="75">
        <f t="shared" ref="AG34" si="11">+Z34</f>
        <v>0.55000000000000004</v>
      </c>
      <c r="AH34" s="75">
        <f t="shared" ref="AH34" si="12">+AA34</f>
        <v>0.65</v>
      </c>
      <c r="AI34" s="75">
        <f t="shared" ref="AI34" si="13">+AB34</f>
        <v>0.75</v>
      </c>
    </row>
    <row r="35" spans="2:35" ht="15.75" thickTop="1" x14ac:dyDescent="0.25">
      <c r="B35" s="92"/>
      <c r="C35" s="91"/>
      <c r="D35" s="91"/>
      <c r="E35" s="91"/>
      <c r="F35" s="91"/>
      <c r="G35" s="91"/>
      <c r="I35" s="62">
        <f>+I37*0.8</f>
        <v>66</v>
      </c>
      <c r="J35" s="63">
        <f>+(J$25*$I26+$N$9-$N$14-$N$18)</f>
        <v>-6.6880949999999615</v>
      </c>
      <c r="K35" s="64">
        <f t="shared" ref="J35:N39" si="14">+(K$25*$I35+$N$9-$N$14-$N$18)</f>
        <v>349.56190499999997</v>
      </c>
      <c r="L35" s="64">
        <f t="shared" si="14"/>
        <v>380.91190499999999</v>
      </c>
      <c r="M35" s="64">
        <f t="shared" si="14"/>
        <v>412.26190500000001</v>
      </c>
      <c r="N35" s="65">
        <f t="shared" si="14"/>
        <v>443.61190500000004</v>
      </c>
      <c r="P35" s="62">
        <f>+P37*0.8</f>
        <v>176.75447600000001</v>
      </c>
      <c r="Q35" s="63">
        <f t="shared" ref="Q35:U39" si="15">+(Q$25*$P35*$U$7+$U$9-$U$14-$U$18)</f>
        <v>768.93988612500016</v>
      </c>
      <c r="R35" s="64">
        <f t="shared" si="15"/>
        <v>821.41387118750004</v>
      </c>
      <c r="S35" s="64">
        <f t="shared" si="15"/>
        <v>873.88785625000014</v>
      </c>
      <c r="T35" s="64">
        <f t="shared" si="15"/>
        <v>926.36184131250002</v>
      </c>
      <c r="U35" s="65">
        <f t="shared" si="15"/>
        <v>978.83582637500001</v>
      </c>
      <c r="W35" s="62">
        <f>+P35</f>
        <v>176.75447600000001</v>
      </c>
      <c r="X35" s="63">
        <f>+(X$25*$P35*$AB$7+$AB$9-$AB$14-$AB$18)</f>
        <v>764.54010418458358</v>
      </c>
      <c r="Y35" s="64">
        <f t="shared" ref="Y35:AB35" si="16">+(Y$25*$P35*$AB$7+$AB$9-$AB$14-$AB$18)</f>
        <v>813.900248375243</v>
      </c>
      <c r="Z35" s="64">
        <f t="shared" si="16"/>
        <v>863.26039256590241</v>
      </c>
      <c r="AA35" s="64">
        <f t="shared" si="16"/>
        <v>912.62053675656159</v>
      </c>
      <c r="AB35" s="65">
        <f t="shared" si="16"/>
        <v>961.98068094722089</v>
      </c>
      <c r="AD35" s="62">
        <f>+W35</f>
        <v>176.75447600000001</v>
      </c>
      <c r="AE35" s="63">
        <f>+(AE$25*$P35*$AI$7+$AI$9-$AI$14-$AI$18)</f>
        <v>889.02603743409782</v>
      </c>
      <c r="AF35" s="64">
        <f t="shared" ref="AF35:AI35" si="17">+(AF$25*$P35*$AI$7+$AI$9-$AI$14-$AI$18)</f>
        <v>945.43819799400239</v>
      </c>
      <c r="AG35" s="64">
        <f t="shared" si="17"/>
        <v>1001.8503585539071</v>
      </c>
      <c r="AH35" s="64">
        <f t="shared" si="17"/>
        <v>1058.2625191138118</v>
      </c>
      <c r="AI35" s="65">
        <f t="shared" si="17"/>
        <v>1114.6746796737166</v>
      </c>
    </row>
    <row r="36" spans="2:35" ht="15.75" thickBot="1" x14ac:dyDescent="0.3">
      <c r="B36" s="92"/>
      <c r="C36" s="91"/>
      <c r="D36" s="91"/>
      <c r="E36" s="91"/>
      <c r="F36" s="91"/>
      <c r="G36" s="91"/>
      <c r="I36" s="66">
        <f>+I37*0.9</f>
        <v>74.25</v>
      </c>
      <c r="J36" s="67">
        <f t="shared" si="14"/>
        <v>388.74940500000008</v>
      </c>
      <c r="K36" s="68">
        <f t="shared" si="14"/>
        <v>424.01815500000004</v>
      </c>
      <c r="L36" s="135">
        <f t="shared" si="14"/>
        <v>459.28690499999999</v>
      </c>
      <c r="M36" s="68">
        <f t="shared" si="14"/>
        <v>494.55565499999994</v>
      </c>
      <c r="N36" s="69">
        <f t="shared" si="14"/>
        <v>529.82440500000007</v>
      </c>
      <c r="P36" s="66">
        <f>+P37*0.9</f>
        <v>198.84878549999999</v>
      </c>
      <c r="Q36" s="67">
        <f t="shared" si="15"/>
        <v>887.00635251562517</v>
      </c>
      <c r="R36" s="68">
        <f t="shared" si="15"/>
        <v>946.03958571093767</v>
      </c>
      <c r="S36" s="135">
        <f t="shared" si="15"/>
        <v>1005.0728189062498</v>
      </c>
      <c r="T36" s="68">
        <f t="shared" si="15"/>
        <v>1064.1060521015622</v>
      </c>
      <c r="U36" s="69">
        <f t="shared" si="15"/>
        <v>1123.139285296875</v>
      </c>
      <c r="W36" s="62">
        <f>+P36</f>
        <v>198.84878549999999</v>
      </c>
      <c r="X36" s="67">
        <f t="shared" ref="X36:AB39" si="18">+(X$25*$P36*$AB$7+$AB$9-$AB$14-$AB$18)</f>
        <v>875.60042861356703</v>
      </c>
      <c r="Y36" s="68">
        <f t="shared" si="18"/>
        <v>931.13059082805887</v>
      </c>
      <c r="Z36" s="135">
        <f t="shared" si="18"/>
        <v>986.6607530425506</v>
      </c>
      <c r="AA36" s="68">
        <f t="shared" si="18"/>
        <v>1042.1909152570422</v>
      </c>
      <c r="AB36" s="69">
        <f t="shared" si="18"/>
        <v>1097.7210774715343</v>
      </c>
      <c r="AD36" s="62">
        <f>+W36</f>
        <v>198.84878549999999</v>
      </c>
      <c r="AE36" s="67">
        <f t="shared" ref="AE36:AI39" si="19">+(AE$25*$P36*$AI$7+$AI$9-$AI$14-$AI$18)</f>
        <v>1015.9533986938833</v>
      </c>
      <c r="AF36" s="68">
        <f t="shared" si="19"/>
        <v>1079.4170793237759</v>
      </c>
      <c r="AG36" s="135">
        <f t="shared" si="19"/>
        <v>1142.880759953669</v>
      </c>
      <c r="AH36" s="68">
        <f t="shared" si="19"/>
        <v>1206.3444405835617</v>
      </c>
      <c r="AI36" s="69">
        <f t="shared" si="19"/>
        <v>1269.8081212134548</v>
      </c>
    </row>
    <row r="37" spans="2:35" ht="15.75" thickBot="1" x14ac:dyDescent="0.3">
      <c r="B37" s="92"/>
      <c r="C37" s="91"/>
      <c r="D37" s="91"/>
      <c r="E37" s="91"/>
      <c r="F37" s="91"/>
      <c r="G37" s="91"/>
      <c r="I37" s="81">
        <f>+'Wheat Dual  ~700Lb'!D4</f>
        <v>82.5</v>
      </c>
      <c r="J37" s="67">
        <f t="shared" si="14"/>
        <v>459.2869050000001</v>
      </c>
      <c r="K37" s="133">
        <f t="shared" si="14"/>
        <v>498.47440499999999</v>
      </c>
      <c r="L37" s="137">
        <f t="shared" si="14"/>
        <v>537.66190500000005</v>
      </c>
      <c r="M37" s="134">
        <f t="shared" si="14"/>
        <v>576.84940500000005</v>
      </c>
      <c r="N37" s="69">
        <f t="shared" si="14"/>
        <v>616.03690500000016</v>
      </c>
      <c r="P37" s="81">
        <f>+U12</f>
        <v>220.943095</v>
      </c>
      <c r="Q37" s="67">
        <f t="shared" si="15"/>
        <v>1005.0728189062501</v>
      </c>
      <c r="R37" s="133">
        <f t="shared" si="15"/>
        <v>1070.6653002343749</v>
      </c>
      <c r="S37" s="137">
        <f t="shared" si="15"/>
        <v>1136.2577815625</v>
      </c>
      <c r="T37" s="134">
        <f t="shared" si="15"/>
        <v>1201.8502628906247</v>
      </c>
      <c r="U37" s="69">
        <f t="shared" si="15"/>
        <v>1267.44274421875</v>
      </c>
      <c r="W37" s="62">
        <f>+P37</f>
        <v>220.943095</v>
      </c>
      <c r="X37" s="67">
        <f t="shared" si="18"/>
        <v>986.6607530425506</v>
      </c>
      <c r="Y37" s="133">
        <f t="shared" si="18"/>
        <v>1048.3609332808749</v>
      </c>
      <c r="Z37" s="137">
        <f t="shared" si="18"/>
        <v>1110.0611135191991</v>
      </c>
      <c r="AA37" s="134">
        <f t="shared" si="18"/>
        <v>1171.7612937575229</v>
      </c>
      <c r="AB37" s="69">
        <f t="shared" si="18"/>
        <v>1233.4614739958472</v>
      </c>
      <c r="AD37" s="62">
        <f>+W37</f>
        <v>220.943095</v>
      </c>
      <c r="AE37" s="67">
        <f>+(AE$25*$P37*$AI$7+$AI$9-$AI$14-$AI$18)</f>
        <v>1142.880759953669</v>
      </c>
      <c r="AF37" s="133">
        <f t="shared" si="19"/>
        <v>1213.39596065355</v>
      </c>
      <c r="AG37" s="137">
        <f t="shared" si="19"/>
        <v>1283.911161353431</v>
      </c>
      <c r="AH37" s="134">
        <f t="shared" si="19"/>
        <v>1354.4263620533115</v>
      </c>
      <c r="AI37" s="69">
        <f t="shared" si="19"/>
        <v>1424.9415627531926</v>
      </c>
    </row>
    <row r="38" spans="2:35" x14ac:dyDescent="0.25">
      <c r="B38" s="92"/>
      <c r="C38" s="91"/>
      <c r="D38" s="91"/>
      <c r="E38" s="91"/>
      <c r="F38" s="91"/>
      <c r="G38" s="91"/>
      <c r="I38" s="66">
        <f>+I37*1.1</f>
        <v>90.750000000000014</v>
      </c>
      <c r="J38" s="67">
        <f t="shared" si="14"/>
        <v>529.82440500000018</v>
      </c>
      <c r="K38" s="68">
        <f t="shared" si="14"/>
        <v>572.93065500000023</v>
      </c>
      <c r="L38" s="136">
        <f t="shared" si="14"/>
        <v>616.03690500000016</v>
      </c>
      <c r="M38" s="68">
        <f t="shared" si="14"/>
        <v>659.14315500000021</v>
      </c>
      <c r="N38" s="69">
        <f t="shared" si="14"/>
        <v>702.24940500000014</v>
      </c>
      <c r="P38" s="66">
        <f>+P37*1.1</f>
        <v>243.03740450000001</v>
      </c>
      <c r="Q38" s="67">
        <f t="shared" si="15"/>
        <v>1123.139285296875</v>
      </c>
      <c r="R38" s="68">
        <f t="shared" si="15"/>
        <v>1195.2910147578123</v>
      </c>
      <c r="S38" s="136">
        <f t="shared" si="15"/>
        <v>1267.44274421875</v>
      </c>
      <c r="T38" s="68">
        <f t="shared" si="15"/>
        <v>1339.5944736796871</v>
      </c>
      <c r="U38" s="69">
        <f t="shared" si="15"/>
        <v>1411.7462031406251</v>
      </c>
      <c r="W38" s="66">
        <f>+W37*1.1</f>
        <v>243.03740450000001</v>
      </c>
      <c r="X38" s="67">
        <f t="shared" si="18"/>
        <v>1097.7210774715343</v>
      </c>
      <c r="Y38" s="68">
        <f t="shared" si="18"/>
        <v>1165.5912757336907</v>
      </c>
      <c r="Z38" s="136">
        <f t="shared" si="18"/>
        <v>1233.4614739958472</v>
      </c>
      <c r="AA38" s="68">
        <f t="shared" si="18"/>
        <v>1301.3316722580037</v>
      </c>
      <c r="AB38" s="69">
        <f t="shared" si="18"/>
        <v>1369.2018705201606</v>
      </c>
      <c r="AD38" s="62">
        <f>+W38</f>
        <v>243.03740450000001</v>
      </c>
      <c r="AE38" s="67">
        <f t="shared" si="19"/>
        <v>1269.8081212134548</v>
      </c>
      <c r="AF38" s="68">
        <f t="shared" si="19"/>
        <v>1347.3748419833237</v>
      </c>
      <c r="AG38" s="136">
        <f t="shared" si="19"/>
        <v>1424.9415627531926</v>
      </c>
      <c r="AH38" s="68">
        <f t="shared" si="19"/>
        <v>1502.5082835230614</v>
      </c>
      <c r="AI38" s="69">
        <f t="shared" si="19"/>
        <v>1580.0750042929308</v>
      </c>
    </row>
    <row r="39" spans="2:35" ht="15.75" thickBot="1" x14ac:dyDescent="0.3">
      <c r="B39" s="92"/>
      <c r="C39" s="91"/>
      <c r="D39" s="91"/>
      <c r="E39" s="91"/>
      <c r="F39" s="91"/>
      <c r="G39" s="91"/>
      <c r="I39" s="70">
        <f>+I37*1.2</f>
        <v>99</v>
      </c>
      <c r="J39" s="71">
        <f t="shared" si="14"/>
        <v>600.36190500000009</v>
      </c>
      <c r="K39" s="72">
        <f t="shared" si="14"/>
        <v>647.38690500000007</v>
      </c>
      <c r="L39" s="72">
        <f t="shared" si="14"/>
        <v>694.41190500000005</v>
      </c>
      <c r="M39" s="72">
        <f t="shared" si="14"/>
        <v>741.43690500000014</v>
      </c>
      <c r="N39" s="73">
        <f t="shared" si="14"/>
        <v>788.46190500000023</v>
      </c>
      <c r="P39" s="70">
        <f>+P37*1.2</f>
        <v>265.13171399999999</v>
      </c>
      <c r="Q39" s="71">
        <f t="shared" si="15"/>
        <v>1241.2057516874997</v>
      </c>
      <c r="R39" s="72">
        <f t="shared" si="15"/>
        <v>1319.9167292812499</v>
      </c>
      <c r="S39" s="72">
        <f t="shared" si="15"/>
        <v>1398.6277068749998</v>
      </c>
      <c r="T39" s="72">
        <f t="shared" si="15"/>
        <v>1477.3386844687495</v>
      </c>
      <c r="U39" s="73">
        <f t="shared" si="15"/>
        <v>1556.0496620624999</v>
      </c>
      <c r="W39" s="70">
        <f>+W37*1.2</f>
        <v>265.13171399999999</v>
      </c>
      <c r="X39" s="71">
        <f t="shared" si="18"/>
        <v>1208.7814019005175</v>
      </c>
      <c r="Y39" s="72">
        <f t="shared" si="18"/>
        <v>1282.8216181865066</v>
      </c>
      <c r="Z39" s="72">
        <f t="shared" si="18"/>
        <v>1356.8618344724957</v>
      </c>
      <c r="AA39" s="72">
        <f t="shared" si="18"/>
        <v>1430.9020507584844</v>
      </c>
      <c r="AB39" s="73">
        <f t="shared" si="18"/>
        <v>1504.9422670444735</v>
      </c>
      <c r="AD39" s="70">
        <f>+AD37*1.2</f>
        <v>265.13171399999999</v>
      </c>
      <c r="AE39" s="71">
        <f t="shared" si="19"/>
        <v>1396.7354824732402</v>
      </c>
      <c r="AF39" s="72">
        <f t="shared" si="19"/>
        <v>1481.3537233130974</v>
      </c>
      <c r="AG39" s="72">
        <f t="shared" si="19"/>
        <v>1565.9719641529546</v>
      </c>
      <c r="AH39" s="72">
        <f t="shared" si="19"/>
        <v>1650.5902049928113</v>
      </c>
      <c r="AI39" s="73">
        <f t="shared" si="19"/>
        <v>1735.208445832669</v>
      </c>
    </row>
    <row r="40" spans="2:35" ht="15.75" thickTop="1" x14ac:dyDescent="0.25">
      <c r="B40" s="92"/>
      <c r="C40" s="91"/>
      <c r="D40" s="91"/>
      <c r="E40" s="91"/>
      <c r="F40" s="91"/>
      <c r="G40" s="91"/>
      <c r="I40" s="92"/>
      <c r="J40" s="91"/>
      <c r="K40" s="91"/>
      <c r="L40" s="91"/>
      <c r="M40" s="91"/>
      <c r="N40" s="91"/>
      <c r="P40" s="92"/>
      <c r="Q40" s="91"/>
      <c r="R40" s="91"/>
      <c r="S40" s="91"/>
      <c r="T40" s="91"/>
      <c r="U40" s="91"/>
      <c r="W40" s="92"/>
      <c r="X40" s="91"/>
      <c r="Y40" s="91"/>
      <c r="Z40" s="91"/>
      <c r="AA40" s="91"/>
      <c r="AB40" s="91"/>
      <c r="AD40" s="92"/>
      <c r="AE40" s="91"/>
      <c r="AF40" s="91"/>
      <c r="AG40" s="91"/>
      <c r="AH40" s="91"/>
      <c r="AI40" s="91"/>
    </row>
    <row r="41" spans="2:35" x14ac:dyDescent="0.25">
      <c r="B41" s="92"/>
      <c r="C41" s="91"/>
      <c r="D41" s="91"/>
      <c r="E41" s="91"/>
      <c r="F41" s="91"/>
      <c r="G41" s="91"/>
      <c r="I41" s="92"/>
      <c r="J41" s="91"/>
      <c r="K41" s="91"/>
      <c r="L41" s="91"/>
      <c r="M41" s="91"/>
      <c r="N41" s="91"/>
      <c r="P41" s="92"/>
      <c r="Q41" s="91"/>
      <c r="R41" s="91"/>
      <c r="S41" s="91"/>
      <c r="T41" s="91"/>
      <c r="U41" s="91"/>
      <c r="W41" s="92"/>
      <c r="X41" s="91"/>
      <c r="Y41" s="91"/>
      <c r="Z41" s="91"/>
      <c r="AA41" s="91"/>
      <c r="AB41" s="91"/>
      <c r="AD41" s="92"/>
      <c r="AE41" s="91"/>
      <c r="AF41" s="91"/>
      <c r="AG41" s="91"/>
      <c r="AH41" s="91"/>
      <c r="AI41" s="91"/>
    </row>
    <row r="42" spans="2:35" ht="15.75" thickBot="1" x14ac:dyDescent="0.3"/>
    <row r="43" spans="2:35" ht="16.5" thickTop="1" thickBot="1" x14ac:dyDescent="0.3">
      <c r="B43" s="352" t="s">
        <v>113</v>
      </c>
      <c r="C43" s="353"/>
      <c r="D43" s="353"/>
      <c r="E43" s="353"/>
      <c r="F43" s="353"/>
      <c r="G43" s="354"/>
      <c r="I43" s="352" t="s">
        <v>113</v>
      </c>
      <c r="J43" s="353"/>
      <c r="K43" s="353"/>
      <c r="L43" s="353"/>
      <c r="M43" s="353"/>
      <c r="N43" s="354"/>
      <c r="P43" s="352" t="s">
        <v>113</v>
      </c>
      <c r="Q43" s="353"/>
      <c r="R43" s="353"/>
      <c r="S43" s="353"/>
      <c r="T43" s="353"/>
      <c r="U43" s="354"/>
      <c r="W43" s="352" t="s">
        <v>113</v>
      </c>
      <c r="X43" s="353"/>
      <c r="Y43" s="353"/>
      <c r="Z43" s="353"/>
      <c r="AA43" s="353"/>
      <c r="AB43" s="354"/>
      <c r="AD43" s="352" t="s">
        <v>113</v>
      </c>
      <c r="AE43" s="353"/>
      <c r="AF43" s="353"/>
      <c r="AG43" s="353"/>
      <c r="AH43" s="353"/>
      <c r="AI43" s="354"/>
    </row>
    <row r="44" spans="2:35" ht="15.75" thickTop="1" x14ac:dyDescent="0.25">
      <c r="B44" s="60" t="s">
        <v>58</v>
      </c>
      <c r="C44" s="361" t="s">
        <v>114</v>
      </c>
      <c r="D44" s="362"/>
      <c r="E44" s="362" t="s">
        <v>60</v>
      </c>
      <c r="F44" s="362"/>
      <c r="G44" s="363"/>
      <c r="I44" s="60" t="s">
        <v>58</v>
      </c>
      <c r="J44" s="361" t="s">
        <v>114</v>
      </c>
      <c r="K44" s="362"/>
      <c r="L44" s="362" t="s">
        <v>60</v>
      </c>
      <c r="M44" s="362"/>
      <c r="N44" s="363"/>
      <c r="P44" s="60" t="s">
        <v>58</v>
      </c>
      <c r="Q44" s="355" t="s">
        <v>114</v>
      </c>
      <c r="R44" s="356"/>
      <c r="S44" s="356" t="s">
        <v>60</v>
      </c>
      <c r="T44" s="356"/>
      <c r="U44" s="357"/>
      <c r="W44" s="60" t="s">
        <v>109</v>
      </c>
      <c r="X44" s="355" t="s">
        <v>107</v>
      </c>
      <c r="Y44" s="356"/>
      <c r="Z44" s="356"/>
      <c r="AA44" s="356"/>
      <c r="AB44" s="357"/>
      <c r="AD44" s="60" t="s">
        <v>109</v>
      </c>
      <c r="AE44" s="355" t="s">
        <v>107</v>
      </c>
      <c r="AF44" s="356"/>
      <c r="AG44" s="356"/>
      <c r="AH44" s="356"/>
      <c r="AI44" s="357"/>
    </row>
    <row r="45" spans="2:35" ht="15.75" thickBot="1" x14ac:dyDescent="0.3">
      <c r="B45" s="61"/>
      <c r="C45" s="118">
        <f>+E45*0.9</f>
        <v>8.5500000000000007</v>
      </c>
      <c r="D45" s="119">
        <f>+E45*0.95</f>
        <v>9.0250000000000004</v>
      </c>
      <c r="E45" s="120">
        <f>+E25</f>
        <v>9.5</v>
      </c>
      <c r="F45" s="119">
        <f>+E45*1.05</f>
        <v>9.9749999999999996</v>
      </c>
      <c r="G45" s="121">
        <f>+E45*1.1</f>
        <v>10.450000000000001</v>
      </c>
      <c r="I45" s="61"/>
      <c r="J45" s="118">
        <f>+L45*0.9</f>
        <v>8.5500000000000007</v>
      </c>
      <c r="K45" s="119">
        <f>+L45*0.95</f>
        <v>9.0250000000000004</v>
      </c>
      <c r="L45" s="120">
        <f>+L25</f>
        <v>9.5</v>
      </c>
      <c r="M45" s="119">
        <f>+L45*1.05</f>
        <v>9.9749999999999996</v>
      </c>
      <c r="N45" s="121">
        <f>+L45*1.1</f>
        <v>10.450000000000001</v>
      </c>
      <c r="P45" s="61"/>
      <c r="Q45" s="118">
        <f>+S45*0.9</f>
        <v>8.5500000000000007</v>
      </c>
      <c r="R45" s="119">
        <f>+S45*0.95</f>
        <v>9.0250000000000004</v>
      </c>
      <c r="S45" s="120">
        <f>+S25</f>
        <v>9.5</v>
      </c>
      <c r="T45" s="119">
        <f>+S45*1.05</f>
        <v>9.9749999999999996</v>
      </c>
      <c r="U45" s="121">
        <f>+S45*1.1</f>
        <v>10.450000000000001</v>
      </c>
      <c r="W45" s="61" t="s">
        <v>8</v>
      </c>
      <c r="X45" s="118">
        <f>+X25</f>
        <v>8.5500000000000007</v>
      </c>
      <c r="Y45" s="119">
        <f>+Z45*0.9</f>
        <v>8.5500000000000007</v>
      </c>
      <c r="Z45" s="120">
        <f>+Z25</f>
        <v>9.5</v>
      </c>
      <c r="AA45" s="119">
        <f>+AA25</f>
        <v>9.9749999999999996</v>
      </c>
      <c r="AB45" s="121">
        <f>+AB25</f>
        <v>10.450000000000001</v>
      </c>
      <c r="AD45" s="61" t="s">
        <v>8</v>
      </c>
      <c r="AE45" s="118">
        <f>+AE25</f>
        <v>8.5500000000000007</v>
      </c>
      <c r="AF45" s="119">
        <f>+AG45*0.9</f>
        <v>8.5500000000000007</v>
      </c>
      <c r="AG45" s="120">
        <f>+AG25</f>
        <v>9.5</v>
      </c>
      <c r="AH45" s="119">
        <f>+AH25</f>
        <v>9.9749999999999996</v>
      </c>
      <c r="AI45" s="121">
        <f>+AI25</f>
        <v>10.450000000000001</v>
      </c>
    </row>
    <row r="46" spans="2:35" ht="15.75" thickTop="1" x14ac:dyDescent="0.25">
      <c r="B46" s="114">
        <f>+B48*0.8</f>
        <v>32</v>
      </c>
      <c r="C46" s="140">
        <f>+(C$25*$B46-$G$14-$G$18)+'Wheat Grain'!$G$37+'Wheat Grain'!$G$42</f>
        <v>-12.107874999999961</v>
      </c>
      <c r="D46" s="141">
        <f>+(D$25*$B46-$G$14-$G$18)+'Wheat Grain'!$G$37+'Wheat Grain'!$G$42</f>
        <v>3.0921250000000278</v>
      </c>
      <c r="E46" s="141">
        <f>+(E$25*$B46-$G$14-$G$18)+'Wheat Grain'!$G$37+'Wheat Grain'!$G$42</f>
        <v>18.292125000000016</v>
      </c>
      <c r="F46" s="141">
        <f>+(F$25*$B46-$G$14-$G$18)+'Wheat Grain'!$G$37+'Wheat Grain'!$G$42</f>
        <v>33.492125000000001</v>
      </c>
      <c r="G46" s="142">
        <f>+(G$25*$B46-$G$14-$G$18)+'Wheat Grain'!$G$37+'Wheat Grain'!$G$42</f>
        <v>48.692125000000047</v>
      </c>
      <c r="I46" s="114">
        <f>+I48*0.8</f>
        <v>28</v>
      </c>
      <c r="J46" s="140">
        <f>+(J$25*$I46+$N$9-$N$14-$N$18)+'Wheat Dual  ~700Lb'!$G$37+'Wheat Dual  ~700Lb'!$G$42</f>
        <v>17.971905000000039</v>
      </c>
      <c r="K46" s="141">
        <f>+(K$25*$I46+$N$9-$N$14-$N$18)+'Wheat Dual  ~700Lb'!$G$37+'Wheat Dual  ~700Lb'!$G$42</f>
        <v>31.27190500000005</v>
      </c>
      <c r="L46" s="141">
        <f>+(L$25*$I46+$N$9-$N$14-$N$18)+'Wheat Dual  ~700Lb'!$G$37+'Wheat Dual  ~700Lb'!$G$42</f>
        <v>44.571905000000001</v>
      </c>
      <c r="M46" s="141">
        <f>+(M$25*$I46+$N$9-$N$14-$N$18)+'Wheat Dual  ~700Lb'!$G$37+'Wheat Dual  ~700Lb'!$G$42</f>
        <v>57.871905000000012</v>
      </c>
      <c r="N46" s="142">
        <f>+(N$25*$I46+$N$9-$N$14-$N$18)+'Wheat Dual  ~700Lb'!$G$37+'Wheat Dual  ~700Lb'!$G$42</f>
        <v>71.171905000000024</v>
      </c>
      <c r="P46" s="114">
        <f>+P48*0.8</f>
        <v>28</v>
      </c>
      <c r="Q46" s="140">
        <f>+(Q$25*$P46*$U$7+$U$9-$U$14-$U$18)+'Wheat Dual ~800Lb'!$G$37+'Wheat Dual ~800Lb'!$G$42</f>
        <v>-1.306844999999992</v>
      </c>
      <c r="R46" s="141">
        <f>+(R$25*$P46*$U$7+$U$9-$U$14-$U$18)+'Wheat Dual ~800Lb'!$G$37+'Wheat Dual ~800Lb'!$G$42</f>
        <v>7.005655000000008</v>
      </c>
      <c r="S46" s="141">
        <f>+(S$25*$P46*$U$7+$U$9-$U$14-$U$18)+'Wheat Dual ~800Lb'!$G$37+'Wheat Dual ~800Lb'!$G$42</f>
        <v>15.318155000000008</v>
      </c>
      <c r="T46" s="141">
        <f>+(T$25*$P46*$U$7+$U$9-$U$14-$U$18)+'Wheat Dual ~800Lb'!$G$37+'Wheat Dual ~800Lb'!$G$42</f>
        <v>23.630655000000008</v>
      </c>
      <c r="U46" s="142">
        <f>+(U$25*$P46*$U$7+$U$9-$U$14-$U$18)+'Wheat Dual ~800Lb'!$G$37+'Wheat Dual ~800Lb'!$G$42</f>
        <v>31.943155000000008</v>
      </c>
      <c r="W46" s="114">
        <f>+W48*0.9</f>
        <v>31.5</v>
      </c>
      <c r="X46" s="140">
        <f>+(X$25*$W46)-$AB$14-$AB$18+'Fescue Established'!$F$43</f>
        <v>71.255915002715341</v>
      </c>
      <c r="Y46" s="141">
        <f>+(Y$25*$W46)-$AB$14-$AB$18+'Fescue Established'!$F$43</f>
        <v>86.218415002715318</v>
      </c>
      <c r="Z46" s="141">
        <f>+(Z$25*$W46)-$AB$14-$AB$18+'Fescue Established'!$F$43</f>
        <v>101.1809150027153</v>
      </c>
      <c r="AA46" s="141">
        <f>+(AA$25*$W46)-$AB$14-$AB$18+'Fescue Established'!$F$43</f>
        <v>116.14341500271527</v>
      </c>
      <c r="AB46" s="142">
        <f>+(AB$25*$W46)-$AB$14-$AB$18+'Fescue Established'!$F$43</f>
        <v>131.10591500271531</v>
      </c>
      <c r="AD46" s="114">
        <f>+AD48*0.9</f>
        <v>31.5</v>
      </c>
      <c r="AE46" s="140">
        <f>+'Wheat Farm Margins'!AL36</f>
        <v>-69.166844601808833</v>
      </c>
      <c r="AF46" s="141">
        <f>+'Wheat Farm Margins'!AM36</f>
        <v>-54.976840456600947</v>
      </c>
      <c r="AG46" s="141">
        <f>+'Wheat Farm Margins'!AN36</f>
        <v>-43.151837002261026</v>
      </c>
      <c r="AH46" s="141">
        <f>+'Wheat Farm Margins'!AO36</f>
        <v>-7.6768266392413391</v>
      </c>
      <c r="AI46" s="142">
        <f>+'Wheat Farm Margins'!AP36</f>
        <v>15.973180269438503</v>
      </c>
    </row>
    <row r="47" spans="2:35" ht="15.75" thickBot="1" x14ac:dyDescent="0.3">
      <c r="B47" s="115">
        <f>+B48*0.9</f>
        <v>36</v>
      </c>
      <c r="C47" s="143">
        <f>+(C$25*$B47-$G$14-$G$18)+'Wheat Grain'!$G$37+'Wheat Grain'!$G$42</f>
        <v>22.092125000000028</v>
      </c>
      <c r="D47" s="144">
        <f>+(D$25*$B47-$G$14-$G$18)+'Wheat Grain'!$G$37+'Wheat Grain'!$G$42</f>
        <v>39.192125000000047</v>
      </c>
      <c r="E47" s="152">
        <f>+(E$25*$B47-$G$14-$G$18)+'Wheat Grain'!$G$37+'Wheat Grain'!$G$42</f>
        <v>56.292125000000013</v>
      </c>
      <c r="F47" s="144">
        <f>+(F$25*$B47-$G$14-$G$18)+'Wheat Grain'!$G$37+'Wheat Grain'!$G$42</f>
        <v>73.392124999999979</v>
      </c>
      <c r="G47" s="145">
        <f>+(G$25*$B47-$G$14-$G$18)+'Wheat Grain'!$G$37+'Wheat Grain'!$G$42</f>
        <v>90.492125000000058</v>
      </c>
      <c r="I47" s="115">
        <f>+I48*0.9</f>
        <v>31.5</v>
      </c>
      <c r="J47" s="143">
        <f>+(J$25*$I47+$N$9-$N$14-$N$18)+'Wheat Dual  ~700Lb'!$G$37+'Wheat Dual  ~700Lb'!$G$42</f>
        <v>47.896905000000046</v>
      </c>
      <c r="K47" s="144">
        <f>+(K$25*$I47+$N$9-$N$14-$N$18)+'Wheat Dual  ~700Lb'!$G$37+'Wheat Dual  ~700Lb'!$G$42</f>
        <v>62.859405000000024</v>
      </c>
      <c r="L47" s="152">
        <f>+(L$25*$I47+$N$9-$N$14-$N$18)+'Wheat Dual  ~700Lb'!$G$37+'Wheat Dual  ~700Lb'!$G$42</f>
        <v>77.821905000000001</v>
      </c>
      <c r="M47" s="144">
        <f>+(M$25*$I47+$N$9-$N$14-$N$18)+'Wheat Dual  ~700Lb'!$G$37+'Wheat Dual  ~700Lb'!$G$42</f>
        <v>92.784404999999978</v>
      </c>
      <c r="N47" s="145">
        <f>+(N$25*$I47+$N$9-$N$14-$N$18)+'Wheat Dual  ~700Lb'!$G$37+'Wheat Dual  ~700Lb'!$G$42</f>
        <v>107.74690500000001</v>
      </c>
      <c r="P47" s="115">
        <f>+P48*0.9</f>
        <v>31.5</v>
      </c>
      <c r="Q47" s="143">
        <f>+(Q$25*$P47*$U$7+$U$9-$U$14-$U$18)+'Wheat Dual ~800Lb'!$G$37+'Wheat Dual ~800Lb'!$G$42</f>
        <v>17.396280000000008</v>
      </c>
      <c r="R47" s="144">
        <f>+(R$25*$P47*$U$7+$U$9-$U$14-$U$18)+'Wheat Dual ~800Lb'!$G$37+'Wheat Dual ~800Lb'!$G$42</f>
        <v>26.747842500000008</v>
      </c>
      <c r="S47" s="152">
        <f>+(S$25*$P47*$U$7+$U$9-$U$14-$U$18)+'Wheat Dual ~800Lb'!$G$37+'Wheat Dual ~800Lb'!$G$42</f>
        <v>36.099405000000004</v>
      </c>
      <c r="T47" s="144">
        <f>+(T$25*$P47*$U$7+$U$9-$U$14-$U$18)+'Wheat Dual ~800Lb'!$G$37+'Wheat Dual ~800Lb'!$G$42</f>
        <v>45.450967500000004</v>
      </c>
      <c r="U47" s="145">
        <f>+(U$25*$P47*$U$7+$U$9-$U$14-$U$18)+'Wheat Dual ~800Lb'!$G$37+'Wheat Dual ~800Lb'!$G$42</f>
        <v>54.802530000000004</v>
      </c>
      <c r="W47" s="115">
        <f>+W48*0.95</f>
        <v>33.25</v>
      </c>
      <c r="X47" s="143">
        <f>+(X$25*$W47)-$AB$14-$AB$18+'Fescue Established'!$F$43</f>
        <v>86.218415002715318</v>
      </c>
      <c r="Y47" s="144">
        <f>+(Y$25*$W47)-$AB$14-$AB$18+'Fescue Established'!$F$43</f>
        <v>102.01216500271531</v>
      </c>
      <c r="Z47" s="152">
        <f>+(Z$25*$W47)-$AB$14-$AB$18+'Fescue Established'!$F$43</f>
        <v>117.8059150027153</v>
      </c>
      <c r="AA47" s="144">
        <f>+(AA$25*$W47)-$AB$14-$AB$18+'Fescue Established'!$F$43</f>
        <v>133.59966500271528</v>
      </c>
      <c r="AB47" s="145">
        <f>+(AB$25*$W47)-$AB$14-$AB$18+'Fescue Established'!$F$43</f>
        <v>149.39341500271533</v>
      </c>
      <c r="AD47" s="115">
        <f>+AD48*0.95</f>
        <v>33.25</v>
      </c>
      <c r="AE47" s="143">
        <f>+'Wheat Farm Margins'!AL37</f>
        <v>-63.385731801909337</v>
      </c>
      <c r="AF47" s="144">
        <f>+'Wheat Farm Margins'!AM37</f>
        <v>-48.407394093078786</v>
      </c>
      <c r="AG47" s="152">
        <f>+'Wheat Farm Margins'!AN37</f>
        <v>-35.925446002386643</v>
      </c>
      <c r="AH47" s="144">
        <f>+'Wheat Farm Margins'!AO37</f>
        <v>1.5203982696896805</v>
      </c>
      <c r="AI47" s="145">
        <f>+'Wheat Farm Margins'!AP37</f>
        <v>26.484294451073936</v>
      </c>
    </row>
    <row r="48" spans="2:35" ht="15.75" thickBot="1" x14ac:dyDescent="0.3">
      <c r="B48" s="116">
        <f>+B28</f>
        <v>40</v>
      </c>
      <c r="C48" s="143">
        <f>+(C$25*$B48-$G$14-$G$18)+'Wheat Grain'!$G$37+'Wheat Grain'!$G$42</f>
        <v>56.292125000000013</v>
      </c>
      <c r="D48" s="149">
        <f>+(D$25*$B48-$G$14-$G$18)+'Wheat Grain'!$G$37+'Wheat Grain'!$G$42</f>
        <v>75.292125000000013</v>
      </c>
      <c r="E48" s="137">
        <f>+(E$25*$B48-$G$14-$G$18)+'Wheat Grain'!$G$37+'Wheat Grain'!$G$42</f>
        <v>94.292125000000013</v>
      </c>
      <c r="F48" s="151">
        <f>+(F$25*$B48-$G$14-$G$18)+'Wheat Grain'!$G$37+'Wheat Grain'!$G$42</f>
        <v>113.29212500000001</v>
      </c>
      <c r="G48" s="145">
        <f>+(G$25*$B48-$G$14-$G$18)+'Wheat Grain'!$G$37+'Wheat Grain'!$G$42</f>
        <v>132.29212500000008</v>
      </c>
      <c r="I48" s="116">
        <f>+I28</f>
        <v>35</v>
      </c>
      <c r="J48" s="143">
        <f>+(J$25*$I48+$N$9-$N$14-$N$18)+'Wheat Dual  ~700Lb'!$G$37+'Wheat Dual  ~700Lb'!$G$42</f>
        <v>77.821905000000001</v>
      </c>
      <c r="K48" s="149">
        <f>+(K$25*$I48+$N$9-$N$14-$N$18)+'Wheat Dual  ~700Lb'!$G$37+'Wheat Dual  ~700Lb'!$G$42</f>
        <v>94.446905000000001</v>
      </c>
      <c r="L48" s="137">
        <f>+(L$25*$I48+$N$9-$N$14-$N$18)+'Wheat Dual  ~700Lb'!$G$37+'Wheat Dual  ~700Lb'!$G$42</f>
        <v>111.071905</v>
      </c>
      <c r="M48" s="151">
        <f>+(M$25*$I48+$N$9-$N$14-$N$18)+'Wheat Dual  ~700Lb'!$G$37+'Wheat Dual  ~700Lb'!$G$42</f>
        <v>127.696905</v>
      </c>
      <c r="N48" s="145">
        <f>+(N$25*$I48+$N$9-$N$14-$N$18)+'Wheat Dual  ~700Lb'!$G$37+'Wheat Dual  ~700Lb'!$G$42</f>
        <v>144.32190500000007</v>
      </c>
      <c r="P48" s="116">
        <f>+P28</f>
        <v>35</v>
      </c>
      <c r="Q48" s="143">
        <f>+(Q$25*$P48*$U$7+$U$9-$U$14-$U$18)+'Wheat Dual ~800Lb'!$G$37+'Wheat Dual ~800Lb'!$G$42</f>
        <v>36.099405000000004</v>
      </c>
      <c r="R48" s="149">
        <f>+(R$25*$P48*$U$7+$U$9-$U$14-$U$18)+'Wheat Dual ~800Lb'!$G$37+'Wheat Dual ~800Lb'!$G$42</f>
        <v>46.490030000000004</v>
      </c>
      <c r="S48" s="137">
        <f>+(S$25*$P48*$U$7+$U$9-$U$14-$U$18)+'Wheat Dual ~800Lb'!$G$37+'Wheat Dual ~800Lb'!$G$42</f>
        <v>56.880655000000004</v>
      </c>
      <c r="T48" s="151">
        <f>+(T$25*$P48*$U$7+$U$9-$U$14-$U$18)+'Wheat Dual ~800Lb'!$G$37+'Wheat Dual ~800Lb'!$G$42</f>
        <v>67.271280000000004</v>
      </c>
      <c r="U48" s="145">
        <f>+(U$25*$P48*$U$7+$U$9-$U$14-$U$18)+'Wheat Dual ~800Lb'!$G$37+'Wheat Dual ~800Lb'!$G$42</f>
        <v>77.661905000000004</v>
      </c>
      <c r="W48" s="116">
        <f>+W28</f>
        <v>35</v>
      </c>
      <c r="X48" s="143">
        <f>+(X$25*$W48)-$AB$14-$AB$18+'Fescue Established'!$F$43</f>
        <v>101.1809150027153</v>
      </c>
      <c r="Y48" s="149">
        <f>+(Y$25*$W48)-$AB$14-$AB$18+'Fescue Established'!$F$43</f>
        <v>117.8059150027153</v>
      </c>
      <c r="Z48" s="137">
        <f>+(Z$25*$W48)-$AB$14-$AB$18+'Fescue Established'!$F$43</f>
        <v>134.4309150027153</v>
      </c>
      <c r="AA48" s="151">
        <f>+(AA$25*$W48)-$AB$14-$AB$18+'Fescue Established'!$F$43</f>
        <v>151.0559150027153</v>
      </c>
      <c r="AB48" s="145">
        <f>+(AB$25*$W48)-$AB$14-$AB$18+'Fescue Established'!$F$43</f>
        <v>167.68091500271535</v>
      </c>
      <c r="AD48" s="116">
        <f>+AD28</f>
        <v>35</v>
      </c>
      <c r="AE48" s="143">
        <f>+'Wheat Farm Margins'!AL38</f>
        <v>-57.604619002009819</v>
      </c>
      <c r="AF48" s="149">
        <f>+'Wheat Farm Margins'!AM38</f>
        <v>-41.83794772955661</v>
      </c>
      <c r="AG48" s="137">
        <f>+'Wheat Farm Margins'!AN38</f>
        <v>-28.69905500251226</v>
      </c>
      <c r="AH48" s="151">
        <f>+'Wheat Farm Margins'!AO38</f>
        <v>10.717623178620729</v>
      </c>
      <c r="AI48" s="145">
        <f>+'Wheat Farm Margins'!AP38</f>
        <v>36.995408632709434</v>
      </c>
    </row>
    <row r="49" spans="2:35" x14ac:dyDescent="0.25">
      <c r="B49" s="115">
        <f>+B48*1.1</f>
        <v>44</v>
      </c>
      <c r="C49" s="143">
        <f>+(C$25*$B49-$G$14-$G$18)+'Wheat Grain'!$G$37+'Wheat Grain'!$G$42</f>
        <v>90.492125000000058</v>
      </c>
      <c r="D49" s="144">
        <f>+(D$25*$B49-$G$14-$G$18)+'Wheat Grain'!$G$37+'Wheat Grain'!$G$42</f>
        <v>111.39212500000004</v>
      </c>
      <c r="E49" s="153">
        <f>+(E$25*$B49-$G$14-$G$18)+'Wheat Grain'!$G$37+'Wheat Grain'!$G$42</f>
        <v>132.29212500000003</v>
      </c>
      <c r="F49" s="144">
        <f>+(F$25*$B49-$G$14-$G$18)+'Wheat Grain'!$G$37+'Wheat Grain'!$G$42</f>
        <v>153.192125</v>
      </c>
      <c r="G49" s="145">
        <f>+(G$25*$B49-$G$14-$G$18)+'Wheat Grain'!$G$37+'Wheat Grain'!$G$42</f>
        <v>174.0921250000001</v>
      </c>
      <c r="I49" s="115">
        <f>+I48*1.1</f>
        <v>38.5</v>
      </c>
      <c r="J49" s="143">
        <f>+(J$25*$I49+$N$9-$N$14-$N$18)+'Wheat Dual  ~700Lb'!$G$37+'Wheat Dual  ~700Lb'!$G$42</f>
        <v>107.74690500000001</v>
      </c>
      <c r="K49" s="144">
        <f>+(K$25*$I49+$N$9-$N$14-$N$18)+'Wheat Dual  ~700Lb'!$G$37+'Wheat Dual  ~700Lb'!$G$42</f>
        <v>126.03440500000004</v>
      </c>
      <c r="L49" s="153">
        <f>+(L$25*$I49+$N$9-$N$14-$N$18)+'Wheat Dual  ~700Lb'!$G$37+'Wheat Dual  ~700Lb'!$G$42</f>
        <v>144.32190500000002</v>
      </c>
      <c r="M49" s="144">
        <f>+(M$25*$I49+$N$9-$N$14-$N$18)+'Wheat Dual  ~700Lb'!$G$37+'Wheat Dual  ~700Lb'!$G$42</f>
        <v>162.60940499999995</v>
      </c>
      <c r="N49" s="145">
        <f>+(N$25*$I49+$N$9-$N$14-$N$18)+'Wheat Dual  ~700Lb'!$G$37+'Wheat Dual  ~700Lb'!$G$42</f>
        <v>180.89690500000003</v>
      </c>
      <c r="P49" s="115">
        <f>+P48*1.1</f>
        <v>38.5</v>
      </c>
      <c r="Q49" s="143">
        <f>+(Q$25*$P49*$U$7+$U$9-$U$14-$U$18)+'Wheat Dual ~800Lb'!$G$37+'Wheat Dual ~800Lb'!$G$42</f>
        <v>54.802530000000004</v>
      </c>
      <c r="R49" s="144">
        <f>+(R$25*$P49*$U$7+$U$9-$U$14-$U$18)+'Wheat Dual ~800Lb'!$G$37+'Wheat Dual ~800Lb'!$G$42</f>
        <v>66.232217500000004</v>
      </c>
      <c r="S49" s="153">
        <f>+(S$25*$P49*$U$7+$U$9-$U$14-$U$18)+'Wheat Dual ~800Lb'!$G$37+'Wheat Dual ~800Lb'!$G$42</f>
        <v>77.661905000000004</v>
      </c>
      <c r="T49" s="144">
        <f>+(T$25*$P49*$U$7+$U$9-$U$14-$U$18)+'Wheat Dual ~800Lb'!$G$37+'Wheat Dual ~800Lb'!$G$42</f>
        <v>89.091592500000004</v>
      </c>
      <c r="U49" s="145">
        <f>+(U$25*$P49*$U$7+$U$9-$U$14-$U$18)+'Wheat Dual ~800Lb'!$G$37+'Wheat Dual ~800Lb'!$G$42</f>
        <v>100.52128</v>
      </c>
      <c r="W49" s="115">
        <f>+W48*1.05</f>
        <v>36.75</v>
      </c>
      <c r="X49" s="143">
        <f>+(X$25*$W49)-$AB$14-$AB$18+'Fescue Established'!$F$43</f>
        <v>116.14341500271533</v>
      </c>
      <c r="Y49" s="144">
        <f>+(Y$25*$W49)-$AB$14-$AB$18+'Fescue Established'!$F$43</f>
        <v>133.59966500271528</v>
      </c>
      <c r="Z49" s="153">
        <f>+(Z$25*$W49)-$AB$14-$AB$18+'Fescue Established'!$F$43</f>
        <v>151.0559150027153</v>
      </c>
      <c r="AA49" s="144">
        <f>+(AA$25*$W49)-$AB$14-$AB$18+'Fescue Established'!$F$43</f>
        <v>168.51216500271531</v>
      </c>
      <c r="AB49" s="145">
        <f>+(AB$25*$W49)-$AB$14-$AB$18+'Fescue Established'!$F$43</f>
        <v>185.96841500271529</v>
      </c>
      <c r="AD49" s="115">
        <f>+AD48*1.05</f>
        <v>36.75</v>
      </c>
      <c r="AE49" s="143">
        <f>+'Wheat Farm Margins'!AL39</f>
        <v>-51.823506202110288</v>
      </c>
      <c r="AF49" s="144">
        <f>+'Wheat Farm Margins'!AM39</f>
        <v>-35.268501366034421</v>
      </c>
      <c r="AG49" s="153">
        <f>+'Wheat Farm Margins'!AN39</f>
        <v>-21.472664002637856</v>
      </c>
      <c r="AH49" s="144">
        <f>+'Wheat Farm Margins'!AO39</f>
        <v>19.914848087551803</v>
      </c>
      <c r="AI49" s="145">
        <f>+'Wheat Farm Margins'!AP39</f>
        <v>47.506522814344926</v>
      </c>
    </row>
    <row r="50" spans="2:35" ht="15.75" thickBot="1" x14ac:dyDescent="0.3">
      <c r="B50" s="117">
        <f>+B48*1.2</f>
        <v>48</v>
      </c>
      <c r="C50" s="146">
        <f>+(C$25*$B50-$G$14-$G$18)+'Wheat Grain'!$G$37+'Wheat Grain'!$G$42</f>
        <v>124.69212500000005</v>
      </c>
      <c r="D50" s="147">
        <f>+(D$25*$B50-$G$14-$G$18)+'Wheat Grain'!$G$37+'Wheat Grain'!$G$42</f>
        <v>147.49212500000007</v>
      </c>
      <c r="E50" s="147">
        <f>+(E$25*$B50-$G$14-$G$18)+'Wheat Grain'!$G$37+'Wheat Grain'!$G$42</f>
        <v>170.29212500000003</v>
      </c>
      <c r="F50" s="147">
        <f>+(F$25*$B50-$G$14-$G$18)+'Wheat Grain'!$G$37+'Wheat Grain'!$G$42</f>
        <v>193.09212499999998</v>
      </c>
      <c r="G50" s="148">
        <f>+(G$25*$B50-$G$14-$G$18)+'Wheat Grain'!$G$37+'Wheat Grain'!$G$42</f>
        <v>215.89212500000005</v>
      </c>
      <c r="I50" s="117">
        <f>+I48*1.2</f>
        <v>42</v>
      </c>
      <c r="J50" s="146">
        <f>+(J$25*$I50+$N$9-$N$14-$N$18)+'Wheat Dual  ~700Lb'!$G$37+'Wheat Dual  ~700Lb'!$G$42</f>
        <v>137.67190500000004</v>
      </c>
      <c r="K50" s="147">
        <f>+(K$25*$I50+$N$9-$N$14-$N$18)+'Wheat Dual  ~700Lb'!$G$37+'Wheat Dual  ~700Lb'!$G$42</f>
        <v>157.621905</v>
      </c>
      <c r="L50" s="147">
        <f>+(L$25*$I50+$N$9-$N$14-$N$18)+'Wheat Dual  ~700Lb'!$G$37+'Wheat Dual  ~700Lb'!$G$42</f>
        <v>177.57190499999999</v>
      </c>
      <c r="M50" s="147">
        <f>+(M$25*$I50+$N$9-$N$14-$N$18)+'Wheat Dual  ~700Lb'!$G$37+'Wheat Dual  ~700Lb'!$G$42</f>
        <v>197.52190499999998</v>
      </c>
      <c r="N50" s="148">
        <f>+(N$25*$I50+$N$9-$N$14-$N$18)+'Wheat Dual  ~700Lb'!$G$37+'Wheat Dual  ~700Lb'!$G$42</f>
        <v>217.47190500000008</v>
      </c>
      <c r="P50" s="117">
        <f>+P48*1.2</f>
        <v>42</v>
      </c>
      <c r="Q50" s="146">
        <f>+(Q$25*$P50*$U$7+$U$9-$U$14-$U$18)+'Wheat Dual ~800Lb'!$G$37+'Wheat Dual ~800Lb'!$G$42</f>
        <v>73.505655000000004</v>
      </c>
      <c r="R50" s="147">
        <f>+(R$25*$P50*$U$7+$U$9-$U$14-$U$18)+'Wheat Dual ~800Lb'!$G$37+'Wheat Dual ~800Lb'!$G$42</f>
        <v>85.974405000000004</v>
      </c>
      <c r="S50" s="147">
        <f>+(S$25*$P50*$U$7+$U$9-$U$14-$U$18)+'Wheat Dual ~800Lb'!$G$37+'Wheat Dual ~800Lb'!$G$42</f>
        <v>98.443155000000004</v>
      </c>
      <c r="T50" s="147">
        <f>+(T$25*$P50*$U$7+$U$9-$U$14-$U$18)+'Wheat Dual ~800Lb'!$G$37+'Wheat Dual ~800Lb'!$G$42</f>
        <v>110.911905</v>
      </c>
      <c r="U50" s="148">
        <f>+(U$25*$P50*$U$7+$U$9-$U$14-$U$18)+'Wheat Dual ~800Lb'!$G$37+'Wheat Dual ~800Lb'!$G$42</f>
        <v>123.380655</v>
      </c>
      <c r="W50" s="117">
        <f>+W49*1.1</f>
        <v>40.425000000000004</v>
      </c>
      <c r="X50" s="146">
        <f>+(X$25*$W50)-$AB$14-$AB$18+'Fescue Established'!$F$43</f>
        <v>147.56466500271537</v>
      </c>
      <c r="Y50" s="147">
        <f>+(Y$25*$W50)-$AB$14-$AB$18+'Fescue Established'!$F$43</f>
        <v>166.76654000271535</v>
      </c>
      <c r="Z50" s="147">
        <f>+(Z$25*$W50)-$AB$14-$AB$18+'Fescue Established'!$F$43</f>
        <v>185.96841500271529</v>
      </c>
      <c r="AA50" s="147">
        <f>+(AA$25*$W50)-$AB$14-$AB$18+'Fescue Established'!$F$43</f>
        <v>205.17029000271532</v>
      </c>
      <c r="AB50" s="148">
        <f>+(AB$25*$W50)-$AB$14-$AB$18+'Fescue Established'!$F$43</f>
        <v>224.37216500271535</v>
      </c>
      <c r="AD50" s="117">
        <f>+AD49*1.1</f>
        <v>40.425000000000004</v>
      </c>
      <c r="AE50" s="146">
        <f>+'Wheat Farm Margins'!AL40</f>
        <v>-39.683169322321298</v>
      </c>
      <c r="AF50" s="147">
        <f>+'Wheat Farm Margins'!AM40</f>
        <v>-21.472664002637856</v>
      </c>
      <c r="AG50" s="147">
        <f>+'Wheat Farm Margins'!AN40</f>
        <v>-6.2972429029016137</v>
      </c>
      <c r="AH50" s="147">
        <f>+'Wheat Farm Margins'!AO40</f>
        <v>39.229020396307</v>
      </c>
      <c r="AI50" s="148">
        <f>+'Wheat Farm Margins'!AP40</f>
        <v>69.579862595779446</v>
      </c>
    </row>
    <row r="51" spans="2:35" ht="16.5" thickTop="1" thickBot="1" x14ac:dyDescent="0.3">
      <c r="B51" s="92"/>
      <c r="C51" s="91"/>
      <c r="D51" s="91"/>
      <c r="E51" s="91"/>
      <c r="F51" s="91"/>
      <c r="G51" s="91"/>
      <c r="I51" s="92"/>
      <c r="J51" s="91"/>
      <c r="K51" s="91"/>
      <c r="L51" s="91"/>
      <c r="M51" s="91"/>
      <c r="N51" s="91"/>
      <c r="P51" s="92"/>
      <c r="Q51" s="91"/>
      <c r="R51" s="91"/>
      <c r="S51" s="91"/>
      <c r="T51" s="91"/>
      <c r="U51" s="91"/>
      <c r="W51" s="92"/>
      <c r="X51" s="91"/>
      <c r="Y51" s="91"/>
      <c r="Z51" s="91"/>
      <c r="AA51" s="91"/>
      <c r="AB51" s="91"/>
      <c r="AD51" s="92"/>
      <c r="AE51" s="91"/>
      <c r="AF51" s="91"/>
      <c r="AG51" s="91"/>
      <c r="AH51" s="91"/>
      <c r="AI51" s="91"/>
    </row>
    <row r="52" spans="2:35" ht="16.5" thickTop="1" thickBot="1" x14ac:dyDescent="0.3">
      <c r="B52" s="352" t="s">
        <v>118</v>
      </c>
      <c r="C52" s="353"/>
      <c r="D52" s="353"/>
      <c r="E52" s="353"/>
      <c r="F52" s="353"/>
      <c r="G52" s="354"/>
      <c r="I52" s="352" t="s">
        <v>116</v>
      </c>
      <c r="J52" s="353"/>
      <c r="K52" s="353"/>
      <c r="L52" s="353"/>
      <c r="M52" s="353"/>
      <c r="N52" s="354"/>
      <c r="P52" s="352" t="s">
        <v>116</v>
      </c>
      <c r="Q52" s="353"/>
      <c r="R52" s="353"/>
      <c r="S52" s="353"/>
      <c r="T52" s="353"/>
      <c r="U52" s="354"/>
      <c r="W52" s="352" t="s">
        <v>116</v>
      </c>
      <c r="X52" s="353"/>
      <c r="Y52" s="353"/>
      <c r="Z52" s="353"/>
      <c r="AA52" s="353"/>
      <c r="AB52" s="354"/>
      <c r="AD52" s="352" t="s">
        <v>116</v>
      </c>
      <c r="AE52" s="353"/>
      <c r="AF52" s="353"/>
      <c r="AG52" s="353"/>
      <c r="AH52" s="353"/>
      <c r="AI52" s="354"/>
    </row>
    <row r="53" spans="2:35" ht="15.75" thickTop="1" x14ac:dyDescent="0.25">
      <c r="B53" s="60" t="s">
        <v>58</v>
      </c>
      <c r="C53" s="361" t="s">
        <v>114</v>
      </c>
      <c r="D53" s="362"/>
      <c r="E53" s="362" t="s">
        <v>60</v>
      </c>
      <c r="F53" s="362"/>
      <c r="G53" s="363"/>
      <c r="I53" s="60" t="s">
        <v>58</v>
      </c>
      <c r="J53" s="361" t="s">
        <v>114</v>
      </c>
      <c r="K53" s="362"/>
      <c r="L53" s="362" t="s">
        <v>60</v>
      </c>
      <c r="M53" s="362"/>
      <c r="N53" s="363"/>
      <c r="P53" s="60" t="s">
        <v>58</v>
      </c>
      <c r="Q53" s="355" t="s">
        <v>114</v>
      </c>
      <c r="R53" s="356"/>
      <c r="S53" s="356" t="s">
        <v>60</v>
      </c>
      <c r="T53" s="356"/>
      <c r="U53" s="357"/>
      <c r="W53" s="60" t="s">
        <v>109</v>
      </c>
      <c r="X53" s="355" t="s">
        <v>107</v>
      </c>
      <c r="Y53" s="356"/>
      <c r="Z53" s="356"/>
      <c r="AA53" s="356"/>
      <c r="AB53" s="357"/>
      <c r="AD53" s="60" t="s">
        <v>109</v>
      </c>
      <c r="AE53" s="355" t="s">
        <v>107</v>
      </c>
      <c r="AF53" s="356"/>
      <c r="AG53" s="356"/>
      <c r="AH53" s="356"/>
      <c r="AI53" s="357"/>
    </row>
    <row r="54" spans="2:35" ht="15.75" thickBot="1" x14ac:dyDescent="0.3">
      <c r="B54" s="61"/>
      <c r="C54" s="74">
        <f>+E54*0.9</f>
        <v>8.5500000000000007</v>
      </c>
      <c r="D54" s="75">
        <f>+E54*0.95</f>
        <v>9.0250000000000004</v>
      </c>
      <c r="E54" s="80">
        <f>+E45</f>
        <v>9.5</v>
      </c>
      <c r="F54" s="75">
        <f>+E54*1.05</f>
        <v>9.9749999999999996</v>
      </c>
      <c r="G54" s="76">
        <f>+E54*1.1</f>
        <v>10.450000000000001</v>
      </c>
      <c r="I54" s="61"/>
      <c r="J54" s="74">
        <f>+L54*0.9</f>
        <v>8.5500000000000007</v>
      </c>
      <c r="K54" s="75">
        <f>+L54*0.95</f>
        <v>9.0250000000000004</v>
      </c>
      <c r="L54" s="80">
        <f>+L45</f>
        <v>9.5</v>
      </c>
      <c r="M54" s="75">
        <f>+L54*1.05</f>
        <v>9.9749999999999996</v>
      </c>
      <c r="N54" s="76">
        <f>+L54*1.1</f>
        <v>10.450000000000001</v>
      </c>
      <c r="P54" s="61"/>
      <c r="Q54" s="74">
        <f>+S54*0.9</f>
        <v>8.5500000000000007</v>
      </c>
      <c r="R54" s="75">
        <f>+S54*0.95</f>
        <v>9.0250000000000004</v>
      </c>
      <c r="S54" s="80">
        <f>+S45</f>
        <v>9.5</v>
      </c>
      <c r="T54" s="75">
        <f>+S54*1.05</f>
        <v>9.9749999999999996</v>
      </c>
      <c r="U54" s="76">
        <f>+S54*1.1</f>
        <v>10.450000000000001</v>
      </c>
      <c r="W54" s="61" t="s">
        <v>8</v>
      </c>
      <c r="X54" s="74">
        <f>+X45</f>
        <v>8.5500000000000007</v>
      </c>
      <c r="Y54" s="75">
        <f>+Y45</f>
        <v>8.5500000000000007</v>
      </c>
      <c r="Z54" s="80">
        <f>+Z45</f>
        <v>9.5</v>
      </c>
      <c r="AA54" s="75">
        <f>+AA45</f>
        <v>9.9749999999999996</v>
      </c>
      <c r="AB54" s="76">
        <f>+AB45</f>
        <v>10.450000000000001</v>
      </c>
      <c r="AD54" s="61" t="s">
        <v>8</v>
      </c>
      <c r="AE54" s="74">
        <f>+AE45</f>
        <v>8.5500000000000007</v>
      </c>
      <c r="AF54" s="75">
        <f>+AF45</f>
        <v>8.5500000000000007</v>
      </c>
      <c r="AG54" s="80">
        <f>+AG45</f>
        <v>9.5</v>
      </c>
      <c r="AH54" s="75">
        <f>+AH45</f>
        <v>9.9749999999999996</v>
      </c>
      <c r="AI54" s="76">
        <f>+AI45</f>
        <v>10.450000000000001</v>
      </c>
    </row>
    <row r="55" spans="2:35" ht="15.75" thickTop="1" x14ac:dyDescent="0.25">
      <c r="B55" s="62">
        <f>+B57*0.8</f>
        <v>32</v>
      </c>
      <c r="C55" s="63">
        <f>+(C$25*$B55-$G$14-$G$18)+'Wheat Grain'!$G$37+'Wheat Grain'!$G$42+$G$13-$G$61</f>
        <v>21.292125000000045</v>
      </c>
      <c r="D55" s="64">
        <f>+(D$25*$B55-$G$14-$G$18)+'Wheat Grain'!$G$37+'Wheat Grain'!$G$42+$G$13-$G$61</f>
        <v>36.49212500000003</v>
      </c>
      <c r="E55" s="64">
        <f>+(E$25*$B55-$G$14-$G$18)+'Wheat Grain'!$G$37+'Wheat Grain'!$G$42+$G$13-$G$61</f>
        <v>51.692125000000019</v>
      </c>
      <c r="F55" s="64">
        <f>+(F$25*$B55-$G$14-$G$18)+'Wheat Grain'!$G$37+'Wheat Grain'!$G$42+$G$13-$G$61</f>
        <v>66.892125000000007</v>
      </c>
      <c r="G55" s="65">
        <f>+(G$25*$B55-$G$14-$G$18)+'Wheat Grain'!$G$37+'Wheat Grain'!$G$42+$G$13-$G$61</f>
        <v>82.092125000000053</v>
      </c>
      <c r="I55" s="62">
        <f>+I57*0.8</f>
        <v>28</v>
      </c>
      <c r="J55" s="63">
        <f>+(J$25*$I55+$N$9-$N$14-$N$18)+'Wheat Dual  ~700Lb'!$G$37+'Wheat Dual  ~700Lb'!$G$42+$N$13-$N$61</f>
        <v>51.371905000000041</v>
      </c>
      <c r="K55" s="64">
        <f>+(K$25*$I55+$N$9-$N$14-$N$18)+'Wheat Dual  ~700Lb'!$G$37+'Wheat Dual  ~700Lb'!$G$42+$N$13-$N$61</f>
        <v>64.671905000000052</v>
      </c>
      <c r="L55" s="64">
        <f>+(L$25*$I55+$N$9-$N$14-$N$18)+'Wheat Dual  ~700Lb'!$G$37+'Wheat Dual  ~700Lb'!$G$42+$N$13-$N$61</f>
        <v>77.971905000000007</v>
      </c>
      <c r="M55" s="64">
        <f>+(M$25*$I55+$N$9-$N$14-$N$18)+'Wheat Dual  ~700Lb'!$G$37+'Wheat Dual  ~700Lb'!$G$42+$N$13-$N$61</f>
        <v>91.271905000000018</v>
      </c>
      <c r="N55" s="65">
        <f>+(N$25*$I55+$N$9-$N$14-$N$18)+'Wheat Dual  ~700Lb'!$G$37+'Wheat Dual  ~700Lb'!$G$42+$N$13-$N$61</f>
        <v>104.57190500000003</v>
      </c>
      <c r="P55" s="62">
        <f>+P57*0.8</f>
        <v>28</v>
      </c>
      <c r="Q55" s="63">
        <f>+(Q$25*$P55*$U$7+$U$9-$U$14-$U$18)+'Wheat Dual ~800Lb'!$G$37+'Wheat Dual ~800Lb'!$G$42+$U$13-$U$61*$U$7</f>
        <v>19.568155000000008</v>
      </c>
      <c r="R55" s="64">
        <f>+(R$25*$P55*$U$7+$U$9-$U$14-$U$18)+'Wheat Dual ~800Lb'!$G$37+'Wheat Dual ~800Lb'!$G$42+$U$13-$U$61*$U$7</f>
        <v>27.880655000000004</v>
      </c>
      <c r="S55" s="64">
        <f>+(S$25*$P55*$U$7+$U$9-$U$14-$U$18)+'Wheat Dual ~800Lb'!$G$37+'Wheat Dual ~800Lb'!$G$42+$U$13-$U$61*$U$7</f>
        <v>36.193155000000004</v>
      </c>
      <c r="T55" s="64">
        <f>+(T$25*$P55*$U$7+$U$9-$U$14-$U$18)+'Wheat Dual ~800Lb'!$G$37+'Wheat Dual ~800Lb'!$G$42+$U$13-$U$61*$U$7</f>
        <v>44.505655000000004</v>
      </c>
      <c r="U55" s="65">
        <f>+(U$25*$P55*$U$7+$U$9-$U$14-$U$18)+'Wheat Dual ~800Lb'!$G$37+'Wheat Dual ~800Lb'!$G$42+$U$13-$U$61*$U$7</f>
        <v>52.818155000000004</v>
      </c>
      <c r="W55" s="62">
        <f>+W57*0.9</f>
        <v>31.5</v>
      </c>
      <c r="X55" s="63">
        <f>+X46</f>
        <v>71.255915002715341</v>
      </c>
      <c r="Y55" s="64">
        <f t="shared" ref="Y55:AB55" si="20">+Y46</f>
        <v>86.218415002715318</v>
      </c>
      <c r="Z55" s="64">
        <f t="shared" si="20"/>
        <v>101.1809150027153</v>
      </c>
      <c r="AA55" s="64">
        <f t="shared" si="20"/>
        <v>116.14341500271527</v>
      </c>
      <c r="AB55" s="65">
        <f t="shared" si="20"/>
        <v>131.10591500271531</v>
      </c>
      <c r="AD55" s="62">
        <f>+AD57*0.9</f>
        <v>31.5</v>
      </c>
      <c r="AE55" s="63">
        <f>+AE46</f>
        <v>-69.166844601808833</v>
      </c>
      <c r="AF55" s="64">
        <f t="shared" ref="AF55:AI55" si="21">+AF46</f>
        <v>-54.976840456600947</v>
      </c>
      <c r="AG55" s="64">
        <f t="shared" si="21"/>
        <v>-43.151837002261026</v>
      </c>
      <c r="AH55" s="64">
        <f t="shared" si="21"/>
        <v>-7.6768266392413391</v>
      </c>
      <c r="AI55" s="65">
        <f t="shared" si="21"/>
        <v>15.973180269438503</v>
      </c>
    </row>
    <row r="56" spans="2:35" ht="15.75" thickBot="1" x14ac:dyDescent="0.3">
      <c r="B56" s="66">
        <f>+B57*0.9</f>
        <v>36</v>
      </c>
      <c r="C56" s="67">
        <f>+(C$25*$B56-$G$14-$G$18)+'Wheat Grain'!$G$37+'Wheat Grain'!$G$42+$G$13-$G$61</f>
        <v>55.49212500000003</v>
      </c>
      <c r="D56" s="68">
        <f>+(D$25*$B56-$G$14-$G$18)+'Wheat Grain'!$G$37+'Wheat Grain'!$G$42+$G$13-$G$61</f>
        <v>72.592125000000053</v>
      </c>
      <c r="E56" s="135">
        <f>+(E$25*$B56-$G$14-$G$18)+'Wheat Grain'!$G$37+'Wheat Grain'!$G$42+$G$13-$G$61</f>
        <v>89.692125000000019</v>
      </c>
      <c r="F56" s="68">
        <f>+(F$25*$B56-$G$14-$G$18)+'Wheat Grain'!$G$37+'Wheat Grain'!$G$42+$G$13-$G$61</f>
        <v>106.79212499999998</v>
      </c>
      <c r="G56" s="69">
        <f>+(G$25*$B56-$G$14-$G$18)+'Wheat Grain'!$G$37+'Wheat Grain'!$G$42+$G$13-$G$61</f>
        <v>123.89212500000006</v>
      </c>
      <c r="I56" s="66">
        <f>+I57*0.9</f>
        <v>31.5</v>
      </c>
      <c r="J56" s="67">
        <f>+(J$25*$I56+$N$9-$N$14-$N$18)+'Wheat Dual  ~700Lb'!$G$37+'Wheat Dual  ~700Lb'!$G$42+$N$13-$N$61</f>
        <v>81.296905000000052</v>
      </c>
      <c r="K56" s="68">
        <f>+(K$25*$I56+$N$9-$N$14-$N$18)+'Wheat Dual  ~700Lb'!$G$37+'Wheat Dual  ~700Lb'!$G$42+$N$13-$N$61</f>
        <v>96.259405000000029</v>
      </c>
      <c r="L56" s="135">
        <f>+(L$25*$I56+$N$9-$N$14-$N$18)+'Wheat Dual  ~700Lb'!$G$37+'Wheat Dual  ~700Lb'!$G$42+$N$13-$N$61</f>
        <v>111.22190500000001</v>
      </c>
      <c r="M56" s="68">
        <f>+(M$25*$I56+$N$9-$N$14-$N$18)+'Wheat Dual  ~700Lb'!$G$37+'Wheat Dual  ~700Lb'!$G$42+$N$13-$N$61</f>
        <v>126.18440499999998</v>
      </c>
      <c r="N56" s="69">
        <f>+(N$25*$I56+$N$9-$N$14-$N$18)+'Wheat Dual  ~700Lb'!$G$37+'Wheat Dual  ~700Lb'!$G$42+$N$13-$N$61</f>
        <v>141.14690500000003</v>
      </c>
      <c r="P56" s="66">
        <f>+P57*0.9</f>
        <v>31.5</v>
      </c>
      <c r="Q56" s="67">
        <f>+(Q$25*$P56*$U$7+$U$9-$U$14-$U$18)+'Wheat Dual ~800Lb'!$G$37+'Wheat Dual ~800Lb'!$G$42+$U$13-$U$61*$U$7</f>
        <v>38.271280000000004</v>
      </c>
      <c r="R56" s="68">
        <f>+(R$25*$P56*$U$7+$U$9-$U$14-$U$18)+'Wheat Dual ~800Lb'!$G$37+'Wheat Dual ~800Lb'!$G$42+$U$13-$U$61*$U$7</f>
        <v>47.622842500000004</v>
      </c>
      <c r="S56" s="135">
        <f>+(S$25*$P56*$U$7+$U$9-$U$14-$U$18)+'Wheat Dual ~800Lb'!$G$37+'Wheat Dual ~800Lb'!$G$42+$U$13-$U$61*$U$7</f>
        <v>56.974405000000004</v>
      </c>
      <c r="T56" s="68">
        <f>+(T$25*$P56*$U$7+$U$9-$U$14-$U$18)+'Wheat Dual ~800Lb'!$G$37+'Wheat Dual ~800Lb'!$G$42+$U$13-$U$61*$U$7</f>
        <v>66.325967500000004</v>
      </c>
      <c r="U56" s="69">
        <f>+(U$25*$P56*$U$7+$U$9-$U$14-$U$18)+'Wheat Dual ~800Lb'!$G$37+'Wheat Dual ~800Lb'!$G$42+$U$13-$U$61*$U$7</f>
        <v>75.677530000000004</v>
      </c>
      <c r="W56" s="66">
        <f>+W57*0.95</f>
        <v>33.25</v>
      </c>
      <c r="X56" s="67">
        <f t="shared" ref="X56:AB59" si="22">+X47</f>
        <v>86.218415002715318</v>
      </c>
      <c r="Y56" s="68">
        <f t="shared" si="22"/>
        <v>102.01216500271531</v>
      </c>
      <c r="Z56" s="135">
        <f t="shared" si="22"/>
        <v>117.8059150027153</v>
      </c>
      <c r="AA56" s="68">
        <f t="shared" si="22"/>
        <v>133.59966500271528</v>
      </c>
      <c r="AB56" s="69">
        <f t="shared" si="22"/>
        <v>149.39341500271533</v>
      </c>
      <c r="AD56" s="66">
        <f>+AD57*0.95</f>
        <v>33.25</v>
      </c>
      <c r="AE56" s="67">
        <f t="shared" ref="AE56:AI59" si="23">+AE47</f>
        <v>-63.385731801909337</v>
      </c>
      <c r="AF56" s="68">
        <f t="shared" si="23"/>
        <v>-48.407394093078786</v>
      </c>
      <c r="AG56" s="135">
        <f t="shared" si="23"/>
        <v>-35.925446002386643</v>
      </c>
      <c r="AH56" s="68">
        <f t="shared" si="23"/>
        <v>1.5203982696896805</v>
      </c>
      <c r="AI56" s="69">
        <f t="shared" si="23"/>
        <v>26.484294451073936</v>
      </c>
    </row>
    <row r="57" spans="2:35" ht="15.75" thickBot="1" x14ac:dyDescent="0.3">
      <c r="B57" s="81">
        <f>+B48</f>
        <v>40</v>
      </c>
      <c r="C57" s="67">
        <f>+(C$25*$B57-$G$14-$G$18)+'Wheat Grain'!$G$37+'Wheat Grain'!$G$42+$G$13-$G$61</f>
        <v>89.692125000000019</v>
      </c>
      <c r="D57" s="133">
        <f>+(D$25*$B57-$G$14-$G$18)+'Wheat Grain'!$G$37+'Wheat Grain'!$G$42+$G$13-$G$61</f>
        <v>108.69212500000002</v>
      </c>
      <c r="E57" s="137">
        <f>+(E$25*$B57-$G$14-$G$18)+'Wheat Grain'!$G$37+'Wheat Grain'!$G$42+$G$13-$G$61</f>
        <v>127.69212500000002</v>
      </c>
      <c r="F57" s="134">
        <f>+(F$25*$B57-$G$14-$G$18)+'Wheat Grain'!$G$37+'Wheat Grain'!$G$42+$G$13-$G$61</f>
        <v>146.69212500000003</v>
      </c>
      <c r="G57" s="69">
        <f>+(G$25*$B57-$G$14-$G$18)+'Wheat Grain'!$G$37+'Wheat Grain'!$G$42+$G$13-$G$61</f>
        <v>165.69212500000009</v>
      </c>
      <c r="I57" s="81">
        <f>+I48</f>
        <v>35</v>
      </c>
      <c r="J57" s="67">
        <f>+(J$25*$I57+$N$9-$N$14-$N$18)+'Wheat Dual  ~700Lb'!$G$37+'Wheat Dual  ~700Lb'!$G$42+$N$13-$N$61</f>
        <v>111.22190500000001</v>
      </c>
      <c r="K57" s="133">
        <f>+(K$25*$I57+$N$9-$N$14-$N$18)+'Wheat Dual  ~700Lb'!$G$37+'Wheat Dual  ~700Lb'!$G$42+$N$13-$N$61</f>
        <v>127.84690500000001</v>
      </c>
      <c r="L57" s="137">
        <f>+(L$25*$I57+$N$9-$N$14-$N$18)+'Wheat Dual  ~700Lb'!$G$37+'Wheat Dual  ~700Lb'!$G$42+$N$13-$N$61</f>
        <v>144.47190500000002</v>
      </c>
      <c r="M57" s="134">
        <f>+(M$25*$I57+$N$9-$N$14-$N$18)+'Wheat Dual  ~700Lb'!$G$37+'Wheat Dual  ~700Lb'!$G$42+$N$13-$N$61</f>
        <v>161.09690500000002</v>
      </c>
      <c r="N57" s="69">
        <f>+(N$25*$I57+$N$9-$N$14-$N$18)+'Wheat Dual  ~700Lb'!$G$37+'Wheat Dual  ~700Lb'!$G$42+$N$13-$N$61</f>
        <v>177.72190500000008</v>
      </c>
      <c r="P57" s="81">
        <f>+P48</f>
        <v>35</v>
      </c>
      <c r="Q57" s="67">
        <f>+(Q$25*$P57*$U$7+$U$9-$U$14-$U$18)+'Wheat Dual ~800Lb'!$G$37+'Wheat Dual ~800Lb'!$G$42+$U$13-$U$61*$U$7</f>
        <v>56.974405000000004</v>
      </c>
      <c r="R57" s="133">
        <f>+(R$25*$P57*$U$7+$U$9-$U$14-$U$18)+'Wheat Dual ~800Lb'!$G$37+'Wheat Dual ~800Lb'!$G$42+$U$13-$U$61*$U$7</f>
        <v>67.365030000000004</v>
      </c>
      <c r="S57" s="137">
        <f>+(S$25*$P57*$U$7+$U$9-$U$14-$U$18)+'Wheat Dual ~800Lb'!$G$37+'Wheat Dual ~800Lb'!$G$42+$U$13-$U$61*$U$7</f>
        <v>77.755655000000004</v>
      </c>
      <c r="T57" s="134">
        <f>+(T$25*$P57*$U$7+$U$9-$U$14-$U$18)+'Wheat Dual ~800Lb'!$G$37+'Wheat Dual ~800Lb'!$G$42+$U$13-$U$61*$U$7</f>
        <v>88.146280000000004</v>
      </c>
      <c r="U57" s="69">
        <f>+(U$25*$P57*$U$7+$U$9-$U$14-$U$18)+'Wheat Dual ~800Lb'!$G$37+'Wheat Dual ~800Lb'!$G$42+$U$13-$U$61*$U$7</f>
        <v>98.536905000000004</v>
      </c>
      <c r="W57" s="81">
        <f>+W48</f>
        <v>35</v>
      </c>
      <c r="X57" s="67">
        <f t="shared" si="22"/>
        <v>101.1809150027153</v>
      </c>
      <c r="Y57" s="133">
        <f t="shared" si="22"/>
        <v>117.8059150027153</v>
      </c>
      <c r="Z57" s="137">
        <f t="shared" si="22"/>
        <v>134.4309150027153</v>
      </c>
      <c r="AA57" s="134">
        <f t="shared" si="22"/>
        <v>151.0559150027153</v>
      </c>
      <c r="AB57" s="69">
        <f t="shared" si="22"/>
        <v>167.68091500271535</v>
      </c>
      <c r="AD57" s="81">
        <f>+AD48</f>
        <v>35</v>
      </c>
      <c r="AE57" s="67">
        <f t="shared" si="23"/>
        <v>-57.604619002009819</v>
      </c>
      <c r="AF57" s="133">
        <f t="shared" si="23"/>
        <v>-41.83794772955661</v>
      </c>
      <c r="AG57" s="137">
        <f t="shared" si="23"/>
        <v>-28.69905500251226</v>
      </c>
      <c r="AH57" s="134">
        <f t="shared" si="23"/>
        <v>10.717623178620729</v>
      </c>
      <c r="AI57" s="69">
        <f t="shared" si="23"/>
        <v>36.995408632709434</v>
      </c>
    </row>
    <row r="58" spans="2:35" x14ac:dyDescent="0.25">
      <c r="B58" s="66">
        <f>+B57*1.1</f>
        <v>44</v>
      </c>
      <c r="C58" s="67">
        <f>+(C$25*$B58-$G$14-$G$18)+'Wheat Grain'!$G$37+'Wheat Grain'!$G$42+$G$13-$G$61</f>
        <v>123.89212500000006</v>
      </c>
      <c r="D58" s="68">
        <f>+(D$25*$B58-$G$14-$G$18)+'Wheat Grain'!$G$37+'Wheat Grain'!$G$42+$G$13-$G$61</f>
        <v>144.79212500000006</v>
      </c>
      <c r="E58" s="136">
        <f>+(E$25*$B58-$G$14-$G$18)+'Wheat Grain'!$G$37+'Wheat Grain'!$G$42+$G$13-$G$61</f>
        <v>165.69212500000003</v>
      </c>
      <c r="F58" s="68">
        <f>+(F$25*$B58-$G$14-$G$18)+'Wheat Grain'!$G$37+'Wheat Grain'!$G$42+$G$13-$G$61</f>
        <v>186.59212500000001</v>
      </c>
      <c r="G58" s="69">
        <f>+(G$25*$B58-$G$14-$G$18)+'Wheat Grain'!$G$37+'Wheat Grain'!$G$42+$G$13-$G$61</f>
        <v>207.4921250000001</v>
      </c>
      <c r="I58" s="66">
        <f>+I57*1.1</f>
        <v>38.5</v>
      </c>
      <c r="J58" s="67">
        <f>+(J$25*$I58+$N$9-$N$14-$N$18)+'Wheat Dual  ~700Lb'!$G$37+'Wheat Dual  ~700Lb'!$G$42+$N$13-$N$61</f>
        <v>141.14690500000003</v>
      </c>
      <c r="K58" s="68">
        <f>+(K$25*$I58+$N$9-$N$14-$N$18)+'Wheat Dual  ~700Lb'!$G$37+'Wheat Dual  ~700Lb'!$G$42+$N$13-$N$61</f>
        <v>159.43440500000005</v>
      </c>
      <c r="L58" s="136">
        <f>+(L$25*$I58+$N$9-$N$14-$N$18)+'Wheat Dual  ~700Lb'!$G$37+'Wheat Dual  ~700Lb'!$G$42+$N$13-$N$61</f>
        <v>177.72190500000002</v>
      </c>
      <c r="M58" s="68">
        <f>+(M$25*$I58+$N$9-$N$14-$N$18)+'Wheat Dual  ~700Lb'!$G$37+'Wheat Dual  ~700Lb'!$G$42+$N$13-$N$61</f>
        <v>196.00940499999996</v>
      </c>
      <c r="N58" s="69">
        <f>+(N$25*$I58+$N$9-$N$14-$N$18)+'Wheat Dual  ~700Lb'!$G$37+'Wheat Dual  ~700Lb'!$G$42+$N$13-$N$61</f>
        <v>214.29690500000004</v>
      </c>
      <c r="P58" s="66">
        <f>+P57*1.1</f>
        <v>38.5</v>
      </c>
      <c r="Q58" s="67">
        <f>+(Q$25*$P58*$U$7+$U$9-$U$14-$U$18)+'Wheat Dual ~800Lb'!$G$37+'Wheat Dual ~800Lb'!$G$42+$U$13-$U$61*$U$7</f>
        <v>75.677530000000004</v>
      </c>
      <c r="R58" s="68">
        <f>+(R$25*$P58*$U$7+$U$9-$U$14-$U$18)+'Wheat Dual ~800Lb'!$G$37+'Wheat Dual ~800Lb'!$G$42+$U$13-$U$61*$U$7</f>
        <v>87.107217500000004</v>
      </c>
      <c r="S58" s="136">
        <f>+(S$25*$P58*$U$7+$U$9-$U$14-$U$18)+'Wheat Dual ~800Lb'!$G$37+'Wheat Dual ~800Lb'!$G$42+$U$13-$U$61*$U$7</f>
        <v>98.536905000000004</v>
      </c>
      <c r="T58" s="68">
        <f>+(T$25*$P58*$U$7+$U$9-$U$14-$U$18)+'Wheat Dual ~800Lb'!$G$37+'Wheat Dual ~800Lb'!$G$42+$U$13-$U$61*$U$7</f>
        <v>109.9665925</v>
      </c>
      <c r="U58" s="69">
        <f>+(U$25*$P58*$U$7+$U$9-$U$14-$U$18)+'Wheat Dual ~800Lb'!$G$37+'Wheat Dual ~800Lb'!$G$42+$U$13-$U$61*$U$7</f>
        <v>121.39627999999999</v>
      </c>
      <c r="W58" s="66">
        <f>+W57*1.05</f>
        <v>36.75</v>
      </c>
      <c r="X58" s="67">
        <f t="shared" si="22"/>
        <v>116.14341500271533</v>
      </c>
      <c r="Y58" s="68">
        <f t="shared" si="22"/>
        <v>133.59966500271528</v>
      </c>
      <c r="Z58" s="136">
        <f t="shared" si="22"/>
        <v>151.0559150027153</v>
      </c>
      <c r="AA58" s="68">
        <f t="shared" si="22"/>
        <v>168.51216500271531</v>
      </c>
      <c r="AB58" s="69">
        <f t="shared" si="22"/>
        <v>185.96841500271529</v>
      </c>
      <c r="AD58" s="66">
        <f>+AD57*1.05</f>
        <v>36.75</v>
      </c>
      <c r="AE58" s="67">
        <f t="shared" si="23"/>
        <v>-51.823506202110288</v>
      </c>
      <c r="AF58" s="68">
        <f t="shared" si="23"/>
        <v>-35.268501366034421</v>
      </c>
      <c r="AG58" s="136">
        <f t="shared" si="23"/>
        <v>-21.472664002637856</v>
      </c>
      <c r="AH58" s="68">
        <f t="shared" si="23"/>
        <v>19.914848087551803</v>
      </c>
      <c r="AI58" s="69">
        <f t="shared" si="23"/>
        <v>47.506522814344926</v>
      </c>
    </row>
    <row r="59" spans="2:35" ht="15.75" thickBot="1" x14ac:dyDescent="0.3">
      <c r="B59" s="70">
        <f>+B57*1.2</f>
        <v>48</v>
      </c>
      <c r="C59" s="71">
        <f>+(C$25*$B59-$G$14-$G$18)+'Wheat Grain'!$G$37+'Wheat Grain'!$G$42+$G$13-$G$61</f>
        <v>158.09212500000007</v>
      </c>
      <c r="D59" s="72">
        <f>+(D$25*$B59-$G$14-$G$18)+'Wheat Grain'!$G$37+'Wheat Grain'!$G$42+$G$13-$G$61</f>
        <v>180.89212500000008</v>
      </c>
      <c r="E59" s="72">
        <f>+(E$25*$B59-$G$14-$G$18)+'Wheat Grain'!$G$37+'Wheat Grain'!$G$42+$G$13-$G$61</f>
        <v>203.69212500000003</v>
      </c>
      <c r="F59" s="72">
        <f>+(F$25*$B59-$G$14-$G$18)+'Wheat Grain'!$G$37+'Wheat Grain'!$G$42+$G$13-$G$61</f>
        <v>226.49212499999999</v>
      </c>
      <c r="G59" s="73">
        <f>+(G$25*$B59-$G$14-$G$18)+'Wheat Grain'!$G$37+'Wheat Grain'!$G$42+$G$13-$G$61</f>
        <v>249.29212500000006</v>
      </c>
      <c r="I59" s="70">
        <f>+I57*1.2</f>
        <v>42</v>
      </c>
      <c r="J59" s="71">
        <f>+(J$25*$I59+$N$9-$N$14-$N$18)+'Wheat Dual  ~700Lb'!$G$37+'Wheat Dual  ~700Lb'!$G$42+$N$13-$N$61</f>
        <v>171.07190500000004</v>
      </c>
      <c r="K59" s="72">
        <f>+(K$25*$I59+$N$9-$N$14-$N$18)+'Wheat Dual  ~700Lb'!$G$37+'Wheat Dual  ~700Lb'!$G$42+$N$13-$N$61</f>
        <v>191.021905</v>
      </c>
      <c r="L59" s="72">
        <f>+(L$25*$I59+$N$9-$N$14-$N$18)+'Wheat Dual  ~700Lb'!$G$37+'Wheat Dual  ~700Lb'!$G$42+$N$13-$N$61</f>
        <v>210.97190499999999</v>
      </c>
      <c r="M59" s="72">
        <f>+(M$25*$I59+$N$9-$N$14-$N$18)+'Wheat Dual  ~700Lb'!$G$37+'Wheat Dual  ~700Lb'!$G$42+$N$13-$N$61</f>
        <v>230.92190499999998</v>
      </c>
      <c r="N59" s="73">
        <f>+(N$25*$I59+$N$9-$N$14-$N$18)+'Wheat Dual  ~700Lb'!$G$37+'Wheat Dual  ~700Lb'!$G$42+$N$13-$N$61</f>
        <v>250.87190500000008</v>
      </c>
      <c r="P59" s="70">
        <f>+P57*1.2</f>
        <v>42</v>
      </c>
      <c r="Q59" s="71">
        <f>+(Q$25*$P59*$U$7+$U$9-$U$14-$U$18)+'Wheat Dual ~800Lb'!$G$37+'Wheat Dual ~800Lb'!$G$42+$U$13-$U$61*$U$7</f>
        <v>94.380655000000004</v>
      </c>
      <c r="R59" s="72">
        <f>+(R$25*$P59*$U$7+$U$9-$U$14-$U$18)+'Wheat Dual ~800Lb'!$G$37+'Wheat Dual ~800Lb'!$G$42+$U$13-$U$61*$U$7</f>
        <v>106.849405</v>
      </c>
      <c r="S59" s="72">
        <f>+(S$25*$P59*$U$7+$U$9-$U$14-$U$18)+'Wheat Dual ~800Lb'!$G$37+'Wheat Dual ~800Lb'!$G$42+$U$13-$U$61*$U$7</f>
        <v>119.31815499999999</v>
      </c>
      <c r="T59" s="72">
        <f>+(T$25*$P59*$U$7+$U$9-$U$14-$U$18)+'Wheat Dual ~800Lb'!$G$37+'Wheat Dual ~800Lb'!$G$42+$U$13-$U$61*$U$7</f>
        <v>131.78690499999999</v>
      </c>
      <c r="U59" s="73">
        <f>+(U$25*$P59*$U$7+$U$9-$U$14-$U$18)+'Wheat Dual ~800Lb'!$G$37+'Wheat Dual ~800Lb'!$G$42+$U$13-$U$61*$U$7</f>
        <v>144.25565499999999</v>
      </c>
      <c r="W59" s="70">
        <f>+W58*1.1</f>
        <v>40.425000000000004</v>
      </c>
      <c r="X59" s="71">
        <f t="shared" si="22"/>
        <v>147.56466500271537</v>
      </c>
      <c r="Y59" s="72">
        <f t="shared" si="22"/>
        <v>166.76654000271535</v>
      </c>
      <c r="Z59" s="72">
        <f t="shared" si="22"/>
        <v>185.96841500271529</v>
      </c>
      <c r="AA59" s="72">
        <f t="shared" si="22"/>
        <v>205.17029000271532</v>
      </c>
      <c r="AB59" s="73">
        <f t="shared" si="22"/>
        <v>224.37216500271535</v>
      </c>
      <c r="AD59" s="70">
        <f>+AD58*1.1</f>
        <v>40.425000000000004</v>
      </c>
      <c r="AE59" s="71">
        <f t="shared" si="23"/>
        <v>-39.683169322321298</v>
      </c>
      <c r="AF59" s="72">
        <f t="shared" si="23"/>
        <v>-21.472664002637856</v>
      </c>
      <c r="AG59" s="72">
        <f t="shared" si="23"/>
        <v>-6.2972429029016137</v>
      </c>
      <c r="AH59" s="72">
        <f t="shared" si="23"/>
        <v>39.229020396307</v>
      </c>
      <c r="AI59" s="73">
        <f t="shared" si="23"/>
        <v>69.579862595779446</v>
      </c>
    </row>
    <row r="60" spans="2:35" ht="15.75" thickTop="1" x14ac:dyDescent="0.25"/>
    <row r="61" spans="2:35" x14ac:dyDescent="0.25">
      <c r="B61" s="1" t="s">
        <v>115</v>
      </c>
      <c r="G61" s="93">
        <v>16.2</v>
      </c>
      <c r="I61" s="1" t="s">
        <v>115</v>
      </c>
      <c r="N61" s="93">
        <v>16.2</v>
      </c>
      <c r="P61" s="1" t="s">
        <v>115</v>
      </c>
      <c r="U61" s="93">
        <v>16.2</v>
      </c>
      <c r="W61" s="1" t="s">
        <v>115</v>
      </c>
      <c r="AB61" s="93">
        <v>16.2</v>
      </c>
      <c r="AD61" s="1" t="s">
        <v>115</v>
      </c>
      <c r="AI61" s="93">
        <v>16.2</v>
      </c>
    </row>
  </sheetData>
  <mergeCells count="43">
    <mergeCell ref="AE33:AI33"/>
    <mergeCell ref="B2:G2"/>
    <mergeCell ref="I2:N2"/>
    <mergeCell ref="P2:U2"/>
    <mergeCell ref="W2:AB2"/>
    <mergeCell ref="AD2:AI2"/>
    <mergeCell ref="C24:G24"/>
    <mergeCell ref="AD43:AI43"/>
    <mergeCell ref="B23:G23"/>
    <mergeCell ref="I23:N23"/>
    <mergeCell ref="P23:U23"/>
    <mergeCell ref="W23:AB23"/>
    <mergeCell ref="AD23:AI23"/>
    <mergeCell ref="J24:N24"/>
    <mergeCell ref="Q24:U24"/>
    <mergeCell ref="X24:AB24"/>
    <mergeCell ref="AE24:AI24"/>
    <mergeCell ref="I32:N32"/>
    <mergeCell ref="P32:U32"/>
    <mergeCell ref="W32:AB32"/>
    <mergeCell ref="AD32:AI32"/>
    <mergeCell ref="J33:N33"/>
    <mergeCell ref="Q33:U33"/>
    <mergeCell ref="B43:G43"/>
    <mergeCell ref="I43:N43"/>
    <mergeCell ref="P43:U43"/>
    <mergeCell ref="W43:AB43"/>
    <mergeCell ref="X33:AB33"/>
    <mergeCell ref="C44:G44"/>
    <mergeCell ref="J44:N44"/>
    <mergeCell ref="Q44:U44"/>
    <mergeCell ref="X44:AB44"/>
    <mergeCell ref="AE44:AI44"/>
    <mergeCell ref="B52:G52"/>
    <mergeCell ref="I52:N52"/>
    <mergeCell ref="P52:U52"/>
    <mergeCell ref="W52:AB52"/>
    <mergeCell ref="AD52:AI52"/>
    <mergeCell ref="C53:G53"/>
    <mergeCell ref="J53:N53"/>
    <mergeCell ref="Q53:U53"/>
    <mergeCell ref="X53:AB53"/>
    <mergeCell ref="AE53:AI53"/>
  </mergeCells>
  <conditionalFormatting sqref="C26:G41">
    <cfRule type="colorScale" priority="126">
      <colorScale>
        <cfvo type="min"/>
        <cfvo type="max"/>
        <color theme="0" tint="-4.9989318521683403E-2"/>
        <color theme="0" tint="-0.34998626667073579"/>
      </colorScale>
    </cfRule>
    <cfRule type="colorScale" priority="127">
      <colorScale>
        <cfvo type="min"/>
        <cfvo type="max"/>
        <color rgb="FFFCFCFF"/>
        <color rgb="FF63BE7B"/>
      </colorScale>
    </cfRule>
  </conditionalFormatting>
  <conditionalFormatting sqref="C46:G51">
    <cfRule type="colorScale" priority="128">
      <colorScale>
        <cfvo type="min"/>
        <cfvo type="max"/>
        <color theme="0" tint="-4.9989318521683403E-2"/>
        <color theme="0" tint="-0.34998626667073579"/>
      </colorScale>
    </cfRule>
    <cfRule type="colorScale" priority="129">
      <colorScale>
        <cfvo type="min"/>
        <cfvo type="max"/>
        <color rgb="FFFCFCFF"/>
        <color rgb="FF63BE7B"/>
      </colorScale>
    </cfRule>
  </conditionalFormatting>
  <conditionalFormatting sqref="C55:G59">
    <cfRule type="colorScale" priority="120">
      <colorScale>
        <cfvo type="min"/>
        <cfvo type="max"/>
        <color theme="0" tint="-4.9989318521683403E-2"/>
        <color theme="0" tint="-0.34998626667073579"/>
      </colorScale>
    </cfRule>
    <cfRule type="colorScale" priority="121">
      <colorScale>
        <cfvo type="min"/>
        <cfvo type="max"/>
        <color rgb="FFFCFCFF"/>
        <color rgb="FF63BE7B"/>
      </colorScale>
    </cfRule>
  </conditionalFormatting>
  <conditionalFormatting sqref="J26:N31 J40:N41">
    <cfRule type="colorScale" priority="112">
      <colorScale>
        <cfvo type="min"/>
        <cfvo type="max"/>
        <color theme="0" tint="-4.9989318521683403E-2"/>
        <color theme="0" tint="-0.34998626667073579"/>
      </colorScale>
    </cfRule>
    <cfRule type="colorScale" priority="113">
      <colorScale>
        <cfvo type="min"/>
        <cfvo type="max"/>
        <color rgb="FFFCFCFF"/>
        <color rgb="FF63BE7B"/>
      </colorScale>
    </cfRule>
  </conditionalFormatting>
  <conditionalFormatting sqref="J46:N51">
    <cfRule type="colorScale" priority="114">
      <colorScale>
        <cfvo type="min"/>
        <cfvo type="max"/>
        <color theme="0" tint="-4.9989318521683403E-2"/>
        <color theme="0" tint="-0.34998626667073579"/>
      </colorScale>
    </cfRule>
    <cfRule type="colorScale" priority="115">
      <colorScale>
        <cfvo type="min"/>
        <cfvo type="max"/>
        <color rgb="FFFCFCFF"/>
        <color rgb="FF63BE7B"/>
      </colorScale>
    </cfRule>
  </conditionalFormatting>
  <conditionalFormatting sqref="J55:N59">
    <cfRule type="colorScale" priority="110">
      <colorScale>
        <cfvo type="min"/>
        <cfvo type="max"/>
        <color theme="0" tint="-4.9989318521683403E-2"/>
        <color theme="0" tint="-0.34998626667073579"/>
      </colorScale>
    </cfRule>
    <cfRule type="colorScale" priority="111">
      <colorScale>
        <cfvo type="min"/>
        <cfvo type="max"/>
        <color rgb="FFFCFCFF"/>
        <color rgb="FF63BE7B"/>
      </colorScale>
    </cfRule>
  </conditionalFormatting>
  <conditionalFormatting sqref="X51:AB51">
    <cfRule type="colorScale" priority="108">
      <colorScale>
        <cfvo type="min"/>
        <cfvo type="max"/>
        <color theme="0" tint="-4.9989318521683403E-2"/>
        <color theme="0" tint="-0.34998626667073579"/>
      </colorScale>
    </cfRule>
    <cfRule type="colorScale" priority="109">
      <colorScale>
        <cfvo type="min"/>
        <cfvo type="max"/>
        <color rgb="FFFCFCFF"/>
        <color rgb="FF63BE7B"/>
      </colorScale>
    </cfRule>
  </conditionalFormatting>
  <conditionalFormatting sqref="X46:AB50">
    <cfRule type="colorScale" priority="104">
      <colorScale>
        <cfvo type="min"/>
        <cfvo type="max"/>
        <color theme="0" tint="-4.9989318521683403E-2"/>
        <color theme="0" tint="-0.34998626667073579"/>
      </colorScale>
    </cfRule>
    <cfRule type="colorScale" priority="105">
      <colorScale>
        <cfvo type="min"/>
        <cfvo type="max"/>
        <color rgb="FFFCFCFF"/>
        <color rgb="FF63BE7B"/>
      </colorScale>
    </cfRule>
  </conditionalFormatting>
  <conditionalFormatting sqref="X55:AB59">
    <cfRule type="colorScale" priority="102">
      <colorScale>
        <cfvo type="min"/>
        <cfvo type="max"/>
        <color theme="0" tint="-4.9989318521683403E-2"/>
        <color theme="0" tint="-0.34998626667073579"/>
      </colorScale>
    </cfRule>
    <cfRule type="colorScale" priority="103">
      <colorScale>
        <cfvo type="min"/>
        <cfvo type="max"/>
        <color rgb="FFFCFCFF"/>
        <color rgb="FF63BE7B"/>
      </colorScale>
    </cfRule>
  </conditionalFormatting>
  <conditionalFormatting sqref="C26:G41 J26:N31 Q26:U31 Q40:U41 J40:N41">
    <cfRule type="colorScale" priority="10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46:AB50 C46:G50 J46:N50 Q46:U50">
    <cfRule type="colorScale" priority="9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55:AB59 C55:G59 J55:N59 Q55:U59">
    <cfRule type="colorScale" priority="10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46:AB50">
    <cfRule type="colorScale" priority="98">
      <colorScale>
        <cfvo type="min"/>
        <cfvo type="max"/>
        <color theme="0" tint="-4.9989318521683403E-2"/>
        <color theme="0" tint="-0.34998626667073579"/>
      </colorScale>
    </cfRule>
    <cfRule type="colorScale" priority="99">
      <colorScale>
        <cfvo type="min"/>
        <cfvo type="max"/>
        <color rgb="FFFCFCFF"/>
        <color rgb="FF63BE7B"/>
      </colorScale>
    </cfRule>
  </conditionalFormatting>
  <conditionalFormatting sqref="X46:AB50">
    <cfRule type="colorScale" priority="96">
      <colorScale>
        <cfvo type="min"/>
        <cfvo type="max"/>
        <color theme="0" tint="-4.9989318521683403E-2"/>
        <color theme="0" tint="-0.34998626667073579"/>
      </colorScale>
    </cfRule>
    <cfRule type="colorScale" priority="97">
      <colorScale>
        <cfvo type="min"/>
        <cfvo type="max"/>
        <color rgb="FFFCFCFF"/>
        <color rgb="FF63BE7B"/>
      </colorScale>
    </cfRule>
  </conditionalFormatting>
  <conditionalFormatting sqref="AE51:AI51">
    <cfRule type="colorScale" priority="93">
      <colorScale>
        <cfvo type="min"/>
        <cfvo type="max"/>
        <color theme="0" tint="-4.9989318521683403E-2"/>
        <color theme="0" tint="-0.34998626667073579"/>
      </colorScale>
    </cfRule>
    <cfRule type="colorScale" priority="94">
      <colorScale>
        <cfvo type="min"/>
        <cfvo type="max"/>
        <color rgb="FFFCFCFF"/>
        <color rgb="FF63BE7B"/>
      </colorScale>
    </cfRule>
  </conditionalFormatting>
  <conditionalFormatting sqref="AE55:AI59">
    <cfRule type="colorScale" priority="91">
      <colorScale>
        <cfvo type="min"/>
        <cfvo type="max"/>
        <color theme="0" tint="-4.9989318521683403E-2"/>
        <color theme="0" tint="-0.34998626667073579"/>
      </colorScale>
    </cfRule>
    <cfRule type="colorScale" priority="92">
      <colorScale>
        <cfvo type="min"/>
        <cfvo type="max"/>
        <color rgb="FFFCFCFF"/>
        <color rgb="FF63BE7B"/>
      </colorScale>
    </cfRule>
  </conditionalFormatting>
  <conditionalFormatting sqref="AE55:AI59">
    <cfRule type="colorScale" priority="9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46:AI50">
    <cfRule type="colorScale" priority="88">
      <colorScale>
        <cfvo type="min"/>
        <cfvo type="max"/>
        <color theme="0" tint="-4.9989318521683403E-2"/>
        <color theme="0" tint="-0.34998626667073579"/>
      </colorScale>
    </cfRule>
    <cfRule type="colorScale" priority="89">
      <colorScale>
        <cfvo type="min"/>
        <cfvo type="max"/>
        <color rgb="FFFCFCFF"/>
        <color rgb="FF63BE7B"/>
      </colorScale>
    </cfRule>
  </conditionalFormatting>
  <conditionalFormatting sqref="AE46:AI50">
    <cfRule type="colorScale" priority="8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46:AI50">
    <cfRule type="colorScale" priority="8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55:AI59">
    <cfRule type="colorScale" priority="8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46:AB50 C46:G50 J46:N50 Q46:U50 AE46:AI50">
    <cfRule type="colorScale" priority="8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6:G41">
    <cfRule type="colorScale" priority="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6:G41">
    <cfRule type="colorScale" priority="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26:U31 Q40:U41">
    <cfRule type="colorScale" priority="304">
      <colorScale>
        <cfvo type="min"/>
        <cfvo type="max"/>
        <color theme="0" tint="-4.9989318521683403E-2"/>
        <color theme="0" tint="-0.34998626667073579"/>
      </colorScale>
    </cfRule>
    <cfRule type="colorScale" priority="305">
      <colorScale>
        <cfvo type="min"/>
        <cfvo type="max"/>
        <color rgb="FFFCFCFF"/>
        <color rgb="FF63BE7B"/>
      </colorScale>
    </cfRule>
  </conditionalFormatting>
  <conditionalFormatting sqref="Q46:U51">
    <cfRule type="colorScale" priority="306">
      <colorScale>
        <cfvo type="min"/>
        <cfvo type="max"/>
        <color theme="0" tint="-4.9989318521683403E-2"/>
        <color theme="0" tint="-0.34998626667073579"/>
      </colorScale>
    </cfRule>
    <cfRule type="colorScale" priority="307">
      <colorScale>
        <cfvo type="min"/>
        <cfvo type="max"/>
        <color rgb="FFFCFCFF"/>
        <color rgb="FF63BE7B"/>
      </colorScale>
    </cfRule>
  </conditionalFormatting>
  <conditionalFormatting sqref="Q55:U59">
    <cfRule type="colorScale" priority="308">
      <colorScale>
        <cfvo type="min"/>
        <cfvo type="max"/>
        <color theme="0" tint="-4.9989318521683403E-2"/>
        <color theme="0" tint="-0.34998626667073579"/>
      </colorScale>
    </cfRule>
    <cfRule type="colorScale" priority="309">
      <colorScale>
        <cfvo type="min"/>
        <cfvo type="max"/>
        <color rgb="FFFCFCFF"/>
        <color rgb="FF63BE7B"/>
      </colorScale>
    </cfRule>
  </conditionalFormatting>
  <conditionalFormatting sqref="X26:AB31 X40:AB41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6:AB31 X40:AB41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6:AB31 X40:AB41">
    <cfRule type="colorScale" priority="22">
      <colorScale>
        <cfvo type="min"/>
        <cfvo type="max"/>
        <color theme="0" tint="-4.9989318521683403E-2"/>
        <color theme="0" tint="-0.34998626667073579"/>
      </colorScale>
    </cfRule>
    <cfRule type="colorScale" priority="23">
      <colorScale>
        <cfvo type="min"/>
        <cfvo type="max"/>
        <color rgb="FFFCFCFF"/>
        <color rgb="FF63BE7B"/>
      </colorScale>
    </cfRule>
  </conditionalFormatting>
  <conditionalFormatting sqref="AE26:AI31 AE40:AI41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26:AI31 AE40:AI41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26:AI31 AE40:AI41">
    <cfRule type="colorScale" priority="18">
      <colorScale>
        <cfvo type="min"/>
        <cfvo type="max"/>
        <color theme="0" tint="-4.9989318521683403E-2"/>
        <color theme="0" tint="-0.34998626667073579"/>
      </colorScale>
    </cfRule>
    <cfRule type="colorScale" priority="19">
      <colorScale>
        <cfvo type="min"/>
        <cfvo type="max"/>
        <color rgb="FFFCFCFF"/>
        <color rgb="FF63BE7B"/>
      </colorScale>
    </cfRule>
  </conditionalFormatting>
  <conditionalFormatting sqref="J26:N31 Q26:U31 X26:AB31 AE26:AI31 AE40:AI41 X40:AB41 Q40:U41 J40:N41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35:N39">
    <cfRule type="colorScale" priority="11">
      <colorScale>
        <cfvo type="min"/>
        <cfvo type="max"/>
        <color theme="0" tint="-4.9989318521683403E-2"/>
        <color theme="0" tint="-0.34998626667073579"/>
      </colorScale>
    </cfRule>
    <cfRule type="colorScale" priority="12">
      <colorScale>
        <cfvo type="min"/>
        <cfvo type="max"/>
        <color rgb="FFFCFCFF"/>
        <color rgb="FF63BE7B"/>
      </colorScale>
    </cfRule>
  </conditionalFormatting>
  <conditionalFormatting sqref="J35:N39 Q35:U39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35:U39">
    <cfRule type="colorScale" priority="13">
      <colorScale>
        <cfvo type="min"/>
        <cfvo type="max"/>
        <color theme="0" tint="-4.9989318521683403E-2"/>
        <color theme="0" tint="-0.34998626667073579"/>
      </colorScale>
    </cfRule>
    <cfRule type="colorScale" priority="14">
      <colorScale>
        <cfvo type="min"/>
        <cfvo type="max"/>
        <color rgb="FFFCFCFF"/>
        <color rgb="FF63BE7B"/>
      </colorScale>
    </cfRule>
  </conditionalFormatting>
  <conditionalFormatting sqref="X35:AB39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35:AB39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35:AB39">
    <cfRule type="colorScale" priority="8">
      <colorScale>
        <cfvo type="min"/>
        <cfvo type="max"/>
        <color theme="0" tint="-4.9989318521683403E-2"/>
        <color theme="0" tint="-0.34998626667073579"/>
      </colorScale>
    </cfRule>
    <cfRule type="colorScale" priority="9">
      <colorScale>
        <cfvo type="min"/>
        <cfvo type="max"/>
        <color rgb="FFFCFCFF"/>
        <color rgb="FF63BE7B"/>
      </colorScale>
    </cfRule>
  </conditionalFormatting>
  <conditionalFormatting sqref="AE35:AI39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35:AI39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35:AI39">
    <cfRule type="colorScale" priority="4">
      <colorScale>
        <cfvo type="min"/>
        <cfvo type="max"/>
        <color theme="0" tint="-4.9989318521683403E-2"/>
        <color theme="0" tint="-0.34998626667073579"/>
      </colorScale>
    </cfRule>
    <cfRule type="colorScale" priority="5">
      <colorScale>
        <cfvo type="min"/>
        <cfvo type="max"/>
        <color rgb="FFFCFCFF"/>
        <color rgb="FF63BE7B"/>
      </colorScale>
    </cfRule>
  </conditionalFormatting>
  <conditionalFormatting sqref="J35:N39 Q35:U39 X35:AB39 AE35:AI3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6458C-06E3-45B9-8A61-F7E5FEBBDC26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B472A-30F3-429C-9C8A-B8726428090D}">
  <dimension ref="C2:K14"/>
  <sheetViews>
    <sheetView workbookViewId="0">
      <selection activeCell="H8" sqref="H8"/>
    </sheetView>
  </sheetViews>
  <sheetFormatPr defaultRowHeight="15" x14ac:dyDescent="0.25"/>
  <cols>
    <col min="9" max="9" width="9.85546875" bestFit="1" customWidth="1"/>
  </cols>
  <sheetData>
    <row r="2" spans="3:11" x14ac:dyDescent="0.25">
      <c r="F2">
        <v>88</v>
      </c>
      <c r="G2">
        <v>1200</v>
      </c>
      <c r="H2">
        <v>550</v>
      </c>
      <c r="I2" s="130">
        <f>+H2*F2</f>
        <v>48400</v>
      </c>
      <c r="J2">
        <v>1.5</v>
      </c>
      <c r="K2" s="131">
        <f>+J2*I2</f>
        <v>72600</v>
      </c>
    </row>
    <row r="3" spans="3:11" x14ac:dyDescent="0.25">
      <c r="C3">
        <v>950</v>
      </c>
      <c r="D3">
        <v>505.6</v>
      </c>
      <c r="F3">
        <v>75</v>
      </c>
      <c r="G3">
        <v>1500</v>
      </c>
      <c r="H3">
        <v>650</v>
      </c>
      <c r="I3" s="130">
        <f t="shared" ref="I3:I5" si="0">+H3*F3</f>
        <v>48750</v>
      </c>
      <c r="J3">
        <v>1.5</v>
      </c>
      <c r="K3" s="131">
        <f t="shared" ref="K3:K5" si="1">+J3*I3</f>
        <v>73125</v>
      </c>
    </row>
    <row r="4" spans="3:11" x14ac:dyDescent="0.25">
      <c r="C4">
        <v>1800</v>
      </c>
      <c r="D4">
        <f>505.6+26.2</f>
        <v>531.80000000000007</v>
      </c>
      <c r="F4">
        <v>83</v>
      </c>
      <c r="G4">
        <v>1300</v>
      </c>
      <c r="H4">
        <v>585</v>
      </c>
      <c r="I4" s="130">
        <f t="shared" si="0"/>
        <v>48555</v>
      </c>
      <c r="J4">
        <v>1.5</v>
      </c>
      <c r="K4" s="131">
        <f t="shared" si="1"/>
        <v>72832.5</v>
      </c>
    </row>
    <row r="5" spans="3:11" x14ac:dyDescent="0.25">
      <c r="F5">
        <v>79</v>
      </c>
      <c r="G5">
        <v>1400</v>
      </c>
      <c r="H5">
        <v>620</v>
      </c>
      <c r="I5" s="130">
        <f t="shared" si="0"/>
        <v>48980</v>
      </c>
      <c r="J5">
        <v>1.5</v>
      </c>
      <c r="K5" s="131">
        <f t="shared" si="1"/>
        <v>73470</v>
      </c>
    </row>
    <row r="10" spans="3:11" x14ac:dyDescent="0.25">
      <c r="C10">
        <v>1000</v>
      </c>
      <c r="D10">
        <v>22</v>
      </c>
      <c r="E10">
        <v>100</v>
      </c>
      <c r="F10">
        <v>50000</v>
      </c>
      <c r="G10">
        <f>+F10/E10</f>
        <v>500</v>
      </c>
    </row>
    <row r="11" spans="3:11" x14ac:dyDescent="0.25">
      <c r="C11">
        <v>1100</v>
      </c>
      <c r="D11">
        <v>24.2</v>
      </c>
      <c r="E11">
        <v>91</v>
      </c>
      <c r="F11">
        <v>45500</v>
      </c>
      <c r="G11">
        <f t="shared" ref="G11:G14" si="2">+F11/E11</f>
        <v>500</v>
      </c>
    </row>
    <row r="12" spans="3:11" x14ac:dyDescent="0.25">
      <c r="C12">
        <v>1200</v>
      </c>
      <c r="D12">
        <v>26.4</v>
      </c>
      <c r="E12">
        <v>83</v>
      </c>
      <c r="F12">
        <v>41500</v>
      </c>
      <c r="G12">
        <f t="shared" si="2"/>
        <v>500</v>
      </c>
    </row>
    <row r="13" spans="3:11" x14ac:dyDescent="0.25">
      <c r="C13">
        <v>1300</v>
      </c>
      <c r="D13">
        <v>28.6</v>
      </c>
      <c r="E13">
        <v>77</v>
      </c>
      <c r="F13">
        <v>38500</v>
      </c>
      <c r="G13">
        <f t="shared" si="2"/>
        <v>500</v>
      </c>
    </row>
    <row r="14" spans="3:11" x14ac:dyDescent="0.25">
      <c r="C14">
        <v>1400</v>
      </c>
      <c r="D14">
        <v>30.7</v>
      </c>
      <c r="E14">
        <v>71</v>
      </c>
      <c r="F14">
        <v>35500</v>
      </c>
      <c r="G14">
        <f t="shared" si="2"/>
        <v>500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7E729-7083-4695-BCCD-B4F750E0696B}">
  <dimension ref="A1:W53"/>
  <sheetViews>
    <sheetView workbookViewId="0">
      <selection activeCell="H52" sqref="H52"/>
    </sheetView>
  </sheetViews>
  <sheetFormatPr defaultRowHeight="15" x14ac:dyDescent="0.25"/>
  <cols>
    <col min="1" max="2" width="3" style="1" customWidth="1"/>
    <col min="3" max="3" width="27.140625" style="1" customWidth="1"/>
    <col min="4" max="7" width="10.140625" style="1" customWidth="1"/>
    <col min="8" max="9" width="9" style="1"/>
    <col min="10" max="23" width="0" style="1" hidden="1" customWidth="1"/>
    <col min="24" max="255" width="9" style="1"/>
    <col min="256" max="257" width="3" style="1" customWidth="1"/>
    <col min="258" max="258" width="27.140625" style="1" customWidth="1"/>
    <col min="259" max="263" width="10.140625" style="1" customWidth="1"/>
    <col min="264" max="511" width="9" style="1"/>
    <col min="512" max="513" width="3" style="1" customWidth="1"/>
    <col min="514" max="514" width="27.140625" style="1" customWidth="1"/>
    <col min="515" max="519" width="10.140625" style="1" customWidth="1"/>
    <col min="520" max="767" width="9" style="1"/>
    <col min="768" max="769" width="3" style="1" customWidth="1"/>
    <col min="770" max="770" width="27.140625" style="1" customWidth="1"/>
    <col min="771" max="775" width="10.140625" style="1" customWidth="1"/>
    <col min="776" max="1023" width="9" style="1"/>
    <col min="1024" max="1025" width="3" style="1" customWidth="1"/>
    <col min="1026" max="1026" width="27.140625" style="1" customWidth="1"/>
    <col min="1027" max="1031" width="10.140625" style="1" customWidth="1"/>
    <col min="1032" max="1279" width="9" style="1"/>
    <col min="1280" max="1281" width="3" style="1" customWidth="1"/>
    <col min="1282" max="1282" width="27.140625" style="1" customWidth="1"/>
    <col min="1283" max="1287" width="10.140625" style="1" customWidth="1"/>
    <col min="1288" max="1535" width="9" style="1"/>
    <col min="1536" max="1537" width="3" style="1" customWidth="1"/>
    <col min="1538" max="1538" width="27.140625" style="1" customWidth="1"/>
    <col min="1539" max="1543" width="10.140625" style="1" customWidth="1"/>
    <col min="1544" max="1791" width="9" style="1"/>
    <col min="1792" max="1793" width="3" style="1" customWidth="1"/>
    <col min="1794" max="1794" width="27.140625" style="1" customWidth="1"/>
    <col min="1795" max="1799" width="10.140625" style="1" customWidth="1"/>
    <col min="1800" max="2047" width="9" style="1"/>
    <col min="2048" max="2049" width="3" style="1" customWidth="1"/>
    <col min="2050" max="2050" width="27.140625" style="1" customWidth="1"/>
    <col min="2051" max="2055" width="10.140625" style="1" customWidth="1"/>
    <col min="2056" max="2303" width="9" style="1"/>
    <col min="2304" max="2305" width="3" style="1" customWidth="1"/>
    <col min="2306" max="2306" width="27.140625" style="1" customWidth="1"/>
    <col min="2307" max="2311" width="10.140625" style="1" customWidth="1"/>
    <col min="2312" max="2559" width="9" style="1"/>
    <col min="2560" max="2561" width="3" style="1" customWidth="1"/>
    <col min="2562" max="2562" width="27.140625" style="1" customWidth="1"/>
    <col min="2563" max="2567" width="10.140625" style="1" customWidth="1"/>
    <col min="2568" max="2815" width="9" style="1"/>
    <col min="2816" max="2817" width="3" style="1" customWidth="1"/>
    <col min="2818" max="2818" width="27.140625" style="1" customWidth="1"/>
    <col min="2819" max="2823" width="10.140625" style="1" customWidth="1"/>
    <col min="2824" max="3071" width="9" style="1"/>
    <col min="3072" max="3073" width="3" style="1" customWidth="1"/>
    <col min="3074" max="3074" width="27.140625" style="1" customWidth="1"/>
    <col min="3075" max="3079" width="10.140625" style="1" customWidth="1"/>
    <col min="3080" max="3327" width="9" style="1"/>
    <col min="3328" max="3329" width="3" style="1" customWidth="1"/>
    <col min="3330" max="3330" width="27.140625" style="1" customWidth="1"/>
    <col min="3331" max="3335" width="10.140625" style="1" customWidth="1"/>
    <col min="3336" max="3583" width="9" style="1"/>
    <col min="3584" max="3585" width="3" style="1" customWidth="1"/>
    <col min="3586" max="3586" width="27.140625" style="1" customWidth="1"/>
    <col min="3587" max="3591" width="10.140625" style="1" customWidth="1"/>
    <col min="3592" max="3839" width="9" style="1"/>
    <col min="3840" max="3841" width="3" style="1" customWidth="1"/>
    <col min="3842" max="3842" width="27.140625" style="1" customWidth="1"/>
    <col min="3843" max="3847" width="10.140625" style="1" customWidth="1"/>
    <col min="3848" max="4095" width="9" style="1"/>
    <col min="4096" max="4097" width="3" style="1" customWidth="1"/>
    <col min="4098" max="4098" width="27.140625" style="1" customWidth="1"/>
    <col min="4099" max="4103" width="10.140625" style="1" customWidth="1"/>
    <col min="4104" max="4351" width="9" style="1"/>
    <col min="4352" max="4353" width="3" style="1" customWidth="1"/>
    <col min="4354" max="4354" width="27.140625" style="1" customWidth="1"/>
    <col min="4355" max="4359" width="10.140625" style="1" customWidth="1"/>
    <col min="4360" max="4607" width="9" style="1"/>
    <col min="4608" max="4609" width="3" style="1" customWidth="1"/>
    <col min="4610" max="4610" width="27.140625" style="1" customWidth="1"/>
    <col min="4611" max="4615" width="10.140625" style="1" customWidth="1"/>
    <col min="4616" max="4863" width="9" style="1"/>
    <col min="4864" max="4865" width="3" style="1" customWidth="1"/>
    <col min="4866" max="4866" width="27.140625" style="1" customWidth="1"/>
    <col min="4867" max="4871" width="10.140625" style="1" customWidth="1"/>
    <col min="4872" max="5119" width="9" style="1"/>
    <col min="5120" max="5121" width="3" style="1" customWidth="1"/>
    <col min="5122" max="5122" width="27.140625" style="1" customWidth="1"/>
    <col min="5123" max="5127" width="10.140625" style="1" customWidth="1"/>
    <col min="5128" max="5375" width="9" style="1"/>
    <col min="5376" max="5377" width="3" style="1" customWidth="1"/>
    <col min="5378" max="5378" width="27.140625" style="1" customWidth="1"/>
    <col min="5379" max="5383" width="10.140625" style="1" customWidth="1"/>
    <col min="5384" max="5631" width="9" style="1"/>
    <col min="5632" max="5633" width="3" style="1" customWidth="1"/>
    <col min="5634" max="5634" width="27.140625" style="1" customWidth="1"/>
    <col min="5635" max="5639" width="10.140625" style="1" customWidth="1"/>
    <col min="5640" max="5887" width="9" style="1"/>
    <col min="5888" max="5889" width="3" style="1" customWidth="1"/>
    <col min="5890" max="5890" width="27.140625" style="1" customWidth="1"/>
    <col min="5891" max="5895" width="10.140625" style="1" customWidth="1"/>
    <col min="5896" max="6143" width="9" style="1"/>
    <col min="6144" max="6145" width="3" style="1" customWidth="1"/>
    <col min="6146" max="6146" width="27.140625" style="1" customWidth="1"/>
    <col min="6147" max="6151" width="10.140625" style="1" customWidth="1"/>
    <col min="6152" max="6399" width="9" style="1"/>
    <col min="6400" max="6401" width="3" style="1" customWidth="1"/>
    <col min="6402" max="6402" width="27.140625" style="1" customWidth="1"/>
    <col min="6403" max="6407" width="10.140625" style="1" customWidth="1"/>
    <col min="6408" max="6655" width="9" style="1"/>
    <col min="6656" max="6657" width="3" style="1" customWidth="1"/>
    <col min="6658" max="6658" width="27.140625" style="1" customWidth="1"/>
    <col min="6659" max="6663" width="10.140625" style="1" customWidth="1"/>
    <col min="6664" max="6911" width="9" style="1"/>
    <col min="6912" max="6913" width="3" style="1" customWidth="1"/>
    <col min="6914" max="6914" width="27.140625" style="1" customWidth="1"/>
    <col min="6915" max="6919" width="10.140625" style="1" customWidth="1"/>
    <col min="6920" max="7167" width="9" style="1"/>
    <col min="7168" max="7169" width="3" style="1" customWidth="1"/>
    <col min="7170" max="7170" width="27.140625" style="1" customWidth="1"/>
    <col min="7171" max="7175" width="10.140625" style="1" customWidth="1"/>
    <col min="7176" max="7423" width="9" style="1"/>
    <col min="7424" max="7425" width="3" style="1" customWidth="1"/>
    <col min="7426" max="7426" width="27.140625" style="1" customWidth="1"/>
    <col min="7427" max="7431" width="10.140625" style="1" customWidth="1"/>
    <col min="7432" max="7679" width="9" style="1"/>
    <col min="7680" max="7681" width="3" style="1" customWidth="1"/>
    <col min="7682" max="7682" width="27.140625" style="1" customWidth="1"/>
    <col min="7683" max="7687" width="10.140625" style="1" customWidth="1"/>
    <col min="7688" max="7935" width="9" style="1"/>
    <col min="7936" max="7937" width="3" style="1" customWidth="1"/>
    <col min="7938" max="7938" width="27.140625" style="1" customWidth="1"/>
    <col min="7939" max="7943" width="10.140625" style="1" customWidth="1"/>
    <col min="7944" max="8191" width="9" style="1"/>
    <col min="8192" max="8193" width="3" style="1" customWidth="1"/>
    <col min="8194" max="8194" width="27.140625" style="1" customWidth="1"/>
    <col min="8195" max="8199" width="10.140625" style="1" customWidth="1"/>
    <col min="8200" max="8447" width="9" style="1"/>
    <col min="8448" max="8449" width="3" style="1" customWidth="1"/>
    <col min="8450" max="8450" width="27.140625" style="1" customWidth="1"/>
    <col min="8451" max="8455" width="10.140625" style="1" customWidth="1"/>
    <col min="8456" max="8703" width="9" style="1"/>
    <col min="8704" max="8705" width="3" style="1" customWidth="1"/>
    <col min="8706" max="8706" width="27.140625" style="1" customWidth="1"/>
    <col min="8707" max="8711" width="10.140625" style="1" customWidth="1"/>
    <col min="8712" max="8959" width="9" style="1"/>
    <col min="8960" max="8961" width="3" style="1" customWidth="1"/>
    <col min="8962" max="8962" width="27.140625" style="1" customWidth="1"/>
    <col min="8963" max="8967" width="10.140625" style="1" customWidth="1"/>
    <col min="8968" max="9215" width="9" style="1"/>
    <col min="9216" max="9217" width="3" style="1" customWidth="1"/>
    <col min="9218" max="9218" width="27.140625" style="1" customWidth="1"/>
    <col min="9219" max="9223" width="10.140625" style="1" customWidth="1"/>
    <col min="9224" max="9471" width="9" style="1"/>
    <col min="9472" max="9473" width="3" style="1" customWidth="1"/>
    <col min="9474" max="9474" width="27.140625" style="1" customWidth="1"/>
    <col min="9475" max="9479" width="10.140625" style="1" customWidth="1"/>
    <col min="9480" max="9727" width="9" style="1"/>
    <col min="9728" max="9729" width="3" style="1" customWidth="1"/>
    <col min="9730" max="9730" width="27.140625" style="1" customWidth="1"/>
    <col min="9731" max="9735" width="10.140625" style="1" customWidth="1"/>
    <col min="9736" max="9983" width="9" style="1"/>
    <col min="9984" max="9985" width="3" style="1" customWidth="1"/>
    <col min="9986" max="9986" width="27.140625" style="1" customWidth="1"/>
    <col min="9987" max="9991" width="10.140625" style="1" customWidth="1"/>
    <col min="9992" max="10239" width="9" style="1"/>
    <col min="10240" max="10241" width="3" style="1" customWidth="1"/>
    <col min="10242" max="10242" width="27.140625" style="1" customWidth="1"/>
    <col min="10243" max="10247" width="10.140625" style="1" customWidth="1"/>
    <col min="10248" max="10495" width="9" style="1"/>
    <col min="10496" max="10497" width="3" style="1" customWidth="1"/>
    <col min="10498" max="10498" width="27.140625" style="1" customWidth="1"/>
    <col min="10499" max="10503" width="10.140625" style="1" customWidth="1"/>
    <col min="10504" max="10751" width="9" style="1"/>
    <col min="10752" max="10753" width="3" style="1" customWidth="1"/>
    <col min="10754" max="10754" width="27.140625" style="1" customWidth="1"/>
    <col min="10755" max="10759" width="10.140625" style="1" customWidth="1"/>
    <col min="10760" max="11007" width="9" style="1"/>
    <col min="11008" max="11009" width="3" style="1" customWidth="1"/>
    <col min="11010" max="11010" width="27.140625" style="1" customWidth="1"/>
    <col min="11011" max="11015" width="10.140625" style="1" customWidth="1"/>
    <col min="11016" max="11263" width="9" style="1"/>
    <col min="11264" max="11265" width="3" style="1" customWidth="1"/>
    <col min="11266" max="11266" width="27.140625" style="1" customWidth="1"/>
    <col min="11267" max="11271" width="10.140625" style="1" customWidth="1"/>
    <col min="11272" max="11519" width="9" style="1"/>
    <col min="11520" max="11521" width="3" style="1" customWidth="1"/>
    <col min="11522" max="11522" width="27.140625" style="1" customWidth="1"/>
    <col min="11523" max="11527" width="10.140625" style="1" customWidth="1"/>
    <col min="11528" max="11775" width="9" style="1"/>
    <col min="11776" max="11777" width="3" style="1" customWidth="1"/>
    <col min="11778" max="11778" width="27.140625" style="1" customWidth="1"/>
    <col min="11779" max="11783" width="10.140625" style="1" customWidth="1"/>
    <col min="11784" max="12031" width="9" style="1"/>
    <col min="12032" max="12033" width="3" style="1" customWidth="1"/>
    <col min="12034" max="12034" width="27.140625" style="1" customWidth="1"/>
    <col min="12035" max="12039" width="10.140625" style="1" customWidth="1"/>
    <col min="12040" max="12287" width="9" style="1"/>
    <col min="12288" max="12289" width="3" style="1" customWidth="1"/>
    <col min="12290" max="12290" width="27.140625" style="1" customWidth="1"/>
    <col min="12291" max="12295" width="10.140625" style="1" customWidth="1"/>
    <col min="12296" max="12543" width="9" style="1"/>
    <col min="12544" max="12545" width="3" style="1" customWidth="1"/>
    <col min="12546" max="12546" width="27.140625" style="1" customWidth="1"/>
    <col min="12547" max="12551" width="10.140625" style="1" customWidth="1"/>
    <col min="12552" max="12799" width="9" style="1"/>
    <col min="12800" max="12801" width="3" style="1" customWidth="1"/>
    <col min="12802" max="12802" width="27.140625" style="1" customWidth="1"/>
    <col min="12803" max="12807" width="10.140625" style="1" customWidth="1"/>
    <col min="12808" max="13055" width="9" style="1"/>
    <col min="13056" max="13057" width="3" style="1" customWidth="1"/>
    <col min="13058" max="13058" width="27.140625" style="1" customWidth="1"/>
    <col min="13059" max="13063" width="10.140625" style="1" customWidth="1"/>
    <col min="13064" max="13311" width="9" style="1"/>
    <col min="13312" max="13313" width="3" style="1" customWidth="1"/>
    <col min="13314" max="13314" width="27.140625" style="1" customWidth="1"/>
    <col min="13315" max="13319" width="10.140625" style="1" customWidth="1"/>
    <col min="13320" max="13567" width="9" style="1"/>
    <col min="13568" max="13569" width="3" style="1" customWidth="1"/>
    <col min="13570" max="13570" width="27.140625" style="1" customWidth="1"/>
    <col min="13571" max="13575" width="10.140625" style="1" customWidth="1"/>
    <col min="13576" max="13823" width="9" style="1"/>
    <col min="13824" max="13825" width="3" style="1" customWidth="1"/>
    <col min="13826" max="13826" width="27.140625" style="1" customWidth="1"/>
    <col min="13827" max="13831" width="10.140625" style="1" customWidth="1"/>
    <col min="13832" max="14079" width="9" style="1"/>
    <col min="14080" max="14081" width="3" style="1" customWidth="1"/>
    <col min="14082" max="14082" width="27.140625" style="1" customWidth="1"/>
    <col min="14083" max="14087" width="10.140625" style="1" customWidth="1"/>
    <col min="14088" max="14335" width="9" style="1"/>
    <col min="14336" max="14337" width="3" style="1" customWidth="1"/>
    <col min="14338" max="14338" width="27.140625" style="1" customWidth="1"/>
    <col min="14339" max="14343" width="10.140625" style="1" customWidth="1"/>
    <col min="14344" max="14591" width="9" style="1"/>
    <col min="14592" max="14593" width="3" style="1" customWidth="1"/>
    <col min="14594" max="14594" width="27.140625" style="1" customWidth="1"/>
    <col min="14595" max="14599" width="10.140625" style="1" customWidth="1"/>
    <col min="14600" max="14847" width="9" style="1"/>
    <col min="14848" max="14849" width="3" style="1" customWidth="1"/>
    <col min="14850" max="14850" width="27.140625" style="1" customWidth="1"/>
    <col min="14851" max="14855" width="10.140625" style="1" customWidth="1"/>
    <col min="14856" max="15103" width="9" style="1"/>
    <col min="15104" max="15105" width="3" style="1" customWidth="1"/>
    <col min="15106" max="15106" width="27.140625" style="1" customWidth="1"/>
    <col min="15107" max="15111" width="10.140625" style="1" customWidth="1"/>
    <col min="15112" max="15359" width="9" style="1"/>
    <col min="15360" max="15361" width="3" style="1" customWidth="1"/>
    <col min="15362" max="15362" width="27.140625" style="1" customWidth="1"/>
    <col min="15363" max="15367" width="10.140625" style="1" customWidth="1"/>
    <col min="15368" max="15615" width="9" style="1"/>
    <col min="15616" max="15617" width="3" style="1" customWidth="1"/>
    <col min="15618" max="15618" width="27.140625" style="1" customWidth="1"/>
    <col min="15619" max="15623" width="10.140625" style="1" customWidth="1"/>
    <col min="15624" max="15871" width="9" style="1"/>
    <col min="15872" max="15873" width="3" style="1" customWidth="1"/>
    <col min="15874" max="15874" width="27.140625" style="1" customWidth="1"/>
    <col min="15875" max="15879" width="10.140625" style="1" customWidth="1"/>
    <col min="15880" max="16127" width="9" style="1"/>
    <col min="16128" max="16129" width="3" style="1" customWidth="1"/>
    <col min="16130" max="16130" width="27.140625" style="1" customWidth="1"/>
    <col min="16131" max="16135" width="10.140625" style="1" customWidth="1"/>
    <col min="16136" max="16384" width="9" style="1"/>
  </cols>
  <sheetData>
    <row r="1" spans="1:23" x14ac:dyDescent="0.25">
      <c r="A1" s="22"/>
      <c r="B1" s="23" t="s">
        <v>112</v>
      </c>
      <c r="C1" s="22"/>
      <c r="D1" s="24"/>
      <c r="E1" s="24"/>
      <c r="F1" s="24"/>
      <c r="G1" s="24">
        <f>+[1]Assumptions!C8</f>
        <v>0</v>
      </c>
    </row>
    <row r="2" spans="1:23" x14ac:dyDescent="0.25">
      <c r="A2" s="25" t="s">
        <v>0</v>
      </c>
      <c r="B2" s="25"/>
      <c r="C2" s="25"/>
      <c r="D2" s="26" t="s">
        <v>1</v>
      </c>
      <c r="E2" s="26" t="s">
        <v>2</v>
      </c>
      <c r="F2" s="26" t="s">
        <v>3</v>
      </c>
      <c r="G2" s="26" t="s">
        <v>4</v>
      </c>
    </row>
    <row r="3" spans="1:23" x14ac:dyDescent="0.25">
      <c r="A3" s="22"/>
      <c r="B3" s="291" t="s">
        <v>5</v>
      </c>
      <c r="C3" s="291"/>
      <c r="D3" s="292">
        <f>+Assumptions!F8</f>
        <v>40</v>
      </c>
      <c r="E3" s="293" t="s">
        <v>6</v>
      </c>
      <c r="F3" s="294">
        <f>+Assumptions!F14</f>
        <v>9.5</v>
      </c>
      <c r="G3" s="295">
        <f>D3*F3</f>
        <v>380</v>
      </c>
    </row>
    <row r="4" spans="1:23" x14ac:dyDescent="0.25">
      <c r="A4" s="22"/>
      <c r="B4" s="296" t="s">
        <v>7</v>
      </c>
      <c r="C4" s="296"/>
      <c r="D4" s="296">
        <v>0</v>
      </c>
      <c r="E4" s="293" t="s">
        <v>8</v>
      </c>
      <c r="F4" s="297">
        <v>0</v>
      </c>
      <c r="G4" s="295">
        <f>D4*F4</f>
        <v>0</v>
      </c>
    </row>
    <row r="5" spans="1:23" x14ac:dyDescent="0.25">
      <c r="A5" s="22"/>
      <c r="B5" s="296" t="s">
        <v>7</v>
      </c>
      <c r="C5" s="296"/>
      <c r="D5" s="296">
        <v>1</v>
      </c>
      <c r="E5" s="293" t="s">
        <v>8</v>
      </c>
      <c r="F5" s="297">
        <v>0</v>
      </c>
      <c r="G5" s="295">
        <f>D5*F5</f>
        <v>0</v>
      </c>
    </row>
    <row r="6" spans="1:23" ht="15.75" thickBot="1" x14ac:dyDescent="0.3">
      <c r="A6" s="22"/>
      <c r="B6" s="296" t="s">
        <v>7</v>
      </c>
      <c r="C6" s="296"/>
      <c r="D6" s="296">
        <v>1</v>
      </c>
      <c r="E6" s="293" t="s">
        <v>8</v>
      </c>
      <c r="F6" s="297">
        <v>0</v>
      </c>
      <c r="G6" s="298">
        <f>D6*F6</f>
        <v>0</v>
      </c>
    </row>
    <row r="7" spans="1:23" ht="15.75" thickTop="1" x14ac:dyDescent="0.25">
      <c r="A7" s="22" t="s">
        <v>9</v>
      </c>
      <c r="B7" s="22"/>
      <c r="C7" s="22"/>
      <c r="D7" s="22"/>
      <c r="E7" s="22"/>
      <c r="F7" s="22"/>
      <c r="G7" s="27">
        <f>SUM(G3:G6)</f>
        <v>380</v>
      </c>
    </row>
    <row r="8" spans="1:23" x14ac:dyDescent="0.25">
      <c r="A8" s="25" t="s">
        <v>10</v>
      </c>
      <c r="B8" s="25"/>
      <c r="C8" s="25"/>
      <c r="D8" s="25" t="s">
        <v>1</v>
      </c>
      <c r="E8" s="25" t="s">
        <v>2</v>
      </c>
      <c r="F8" s="25" t="s">
        <v>3</v>
      </c>
      <c r="G8" s="25" t="s">
        <v>4</v>
      </c>
    </row>
    <row r="9" spans="1:23" x14ac:dyDescent="0.25">
      <c r="A9" s="22" t="s">
        <v>11</v>
      </c>
      <c r="B9" s="22"/>
      <c r="C9" s="22"/>
      <c r="D9" s="22"/>
      <c r="E9" s="22"/>
      <c r="F9" s="22"/>
      <c r="G9" s="22"/>
    </row>
    <row r="10" spans="1:23" x14ac:dyDescent="0.25">
      <c r="A10" s="22"/>
      <c r="B10" s="22" t="s">
        <v>12</v>
      </c>
      <c r="C10" s="22"/>
      <c r="D10" s="29">
        <v>1</v>
      </c>
      <c r="E10" s="24" t="s">
        <v>8</v>
      </c>
      <c r="F10" s="31">
        <v>15</v>
      </c>
      <c r="G10" s="27">
        <f>D10*F10</f>
        <v>15</v>
      </c>
    </row>
    <row r="11" spans="1:23" x14ac:dyDescent="0.25">
      <c r="A11" s="22"/>
      <c r="B11" s="22" t="s">
        <v>13</v>
      </c>
      <c r="C11" s="22"/>
      <c r="D11" s="29">
        <v>1</v>
      </c>
      <c r="E11" s="24" t="s">
        <v>8</v>
      </c>
      <c r="F11" s="31">
        <f>54.6+17.6</f>
        <v>72.2</v>
      </c>
      <c r="G11" s="27">
        <f t="shared" ref="G11:G20" si="0">D11*F11</f>
        <v>72.2</v>
      </c>
      <c r="J11" s="1">
        <f>50/0.43</f>
        <v>116.27906976744187</v>
      </c>
      <c r="L11" s="1">
        <v>30</v>
      </c>
      <c r="M11" s="1">
        <v>1000</v>
      </c>
    </row>
    <row r="12" spans="1:23" x14ac:dyDescent="0.25">
      <c r="A12" s="22"/>
      <c r="B12" s="22" t="s">
        <v>14</v>
      </c>
      <c r="C12" s="22"/>
      <c r="D12" s="29">
        <v>1</v>
      </c>
      <c r="E12" s="24" t="s">
        <v>8</v>
      </c>
      <c r="F12" s="31">
        <f>3.65+11.1+26.21+9</f>
        <v>49.96</v>
      </c>
      <c r="G12" s="27">
        <f t="shared" si="0"/>
        <v>49.96</v>
      </c>
      <c r="M12" s="1">
        <v>2200</v>
      </c>
    </row>
    <row r="13" spans="1:23" x14ac:dyDescent="0.25">
      <c r="A13" s="22"/>
      <c r="B13" s="22" t="s">
        <v>15</v>
      </c>
      <c r="C13" s="22"/>
      <c r="D13" s="29">
        <v>1</v>
      </c>
      <c r="E13" s="24" t="s">
        <v>8</v>
      </c>
      <c r="F13" s="31">
        <v>0</v>
      </c>
      <c r="G13" s="27">
        <f t="shared" si="0"/>
        <v>0</v>
      </c>
      <c r="L13" s="1">
        <f>+L11*2.2</f>
        <v>66</v>
      </c>
      <c r="M13" s="1">
        <f>+M12/60</f>
        <v>36.666666666666664</v>
      </c>
    </row>
    <row r="14" spans="1:23" x14ac:dyDescent="0.25">
      <c r="A14" s="22"/>
      <c r="B14" s="22" t="s">
        <v>16</v>
      </c>
      <c r="C14" s="22"/>
      <c r="D14" s="29">
        <v>1</v>
      </c>
      <c r="E14" s="24" t="s">
        <v>8</v>
      </c>
      <c r="F14" s="31">
        <v>12</v>
      </c>
      <c r="G14" s="27">
        <f t="shared" si="0"/>
        <v>12</v>
      </c>
    </row>
    <row r="15" spans="1:23" x14ac:dyDescent="0.25">
      <c r="A15" s="22"/>
      <c r="B15" s="22" t="s">
        <v>17</v>
      </c>
      <c r="C15" s="22"/>
      <c r="D15" s="299">
        <v>1</v>
      </c>
      <c r="E15" s="24" t="s">
        <v>18</v>
      </c>
      <c r="F15" s="31">
        <v>9.32</v>
      </c>
      <c r="G15" s="27">
        <f>D15*F15</f>
        <v>9.32</v>
      </c>
      <c r="L15" s="1">
        <v>66</v>
      </c>
      <c r="M15" s="1">
        <v>250</v>
      </c>
      <c r="N15" s="1">
        <v>2000</v>
      </c>
      <c r="O15" s="1">
        <f>+M15/N15</f>
        <v>0.125</v>
      </c>
      <c r="P15" s="1">
        <f>+O15/0.43</f>
        <v>0.29069767441860467</v>
      </c>
      <c r="Q15" s="1">
        <f>+P15*L15</f>
        <v>19.186046511627907</v>
      </c>
      <c r="W15" s="1">
        <v>0.38</v>
      </c>
    </row>
    <row r="16" spans="1:23" x14ac:dyDescent="0.25">
      <c r="A16" s="22"/>
      <c r="B16" s="22" t="s">
        <v>19</v>
      </c>
      <c r="C16" s="22"/>
      <c r="D16" s="32">
        <v>0</v>
      </c>
      <c r="E16" s="24" t="s">
        <v>20</v>
      </c>
      <c r="F16" s="31">
        <v>0</v>
      </c>
      <c r="G16" s="27">
        <f t="shared" si="0"/>
        <v>0</v>
      </c>
      <c r="W16" s="1">
        <v>30</v>
      </c>
    </row>
    <row r="17" spans="1:23" x14ac:dyDescent="0.25">
      <c r="A17" s="22"/>
      <c r="B17" s="22" t="s">
        <v>21</v>
      </c>
      <c r="C17" s="22"/>
      <c r="D17" s="29">
        <v>1</v>
      </c>
      <c r="E17" s="24" t="s">
        <v>8</v>
      </c>
      <c r="F17" s="31">
        <f>10.44+4.85+0.94</f>
        <v>16.23</v>
      </c>
      <c r="G17" s="27">
        <f t="shared" si="0"/>
        <v>16.23</v>
      </c>
    </row>
    <row r="18" spans="1:23" x14ac:dyDescent="0.25">
      <c r="A18" s="22"/>
      <c r="B18" s="22" t="s">
        <v>22</v>
      </c>
      <c r="C18" s="22"/>
      <c r="D18" s="299">
        <v>1</v>
      </c>
      <c r="E18" s="24" t="s">
        <v>23</v>
      </c>
      <c r="F18" s="31">
        <f>4.48+5.32</f>
        <v>9.8000000000000007</v>
      </c>
      <c r="G18" s="27">
        <f t="shared" si="0"/>
        <v>9.8000000000000007</v>
      </c>
    </row>
    <row r="19" spans="1:23" x14ac:dyDescent="0.25">
      <c r="A19" s="22"/>
      <c r="B19" s="22" t="s">
        <v>24</v>
      </c>
      <c r="C19" s="22"/>
      <c r="D19" s="29">
        <v>1</v>
      </c>
      <c r="E19" s="24" t="s">
        <v>8</v>
      </c>
      <c r="F19" s="31">
        <v>0</v>
      </c>
      <c r="G19" s="27">
        <f t="shared" si="0"/>
        <v>0</v>
      </c>
    </row>
    <row r="20" spans="1:23" x14ac:dyDescent="0.25">
      <c r="A20" s="22"/>
      <c r="B20" s="22" t="s">
        <v>154</v>
      </c>
      <c r="C20" s="22"/>
      <c r="D20" s="29">
        <v>1</v>
      </c>
      <c r="E20" s="24" t="s">
        <v>8</v>
      </c>
      <c r="F20" s="31">
        <v>4.5</v>
      </c>
      <c r="G20" s="27">
        <f t="shared" si="0"/>
        <v>4.5</v>
      </c>
      <c r="P20" s="1" t="s">
        <v>12</v>
      </c>
      <c r="R20" s="1">
        <v>1</v>
      </c>
      <c r="S20" s="1" t="s">
        <v>8</v>
      </c>
      <c r="T20" s="1">
        <v>16.100000000000001</v>
      </c>
      <c r="U20" s="1">
        <v>16.100000000000001</v>
      </c>
      <c r="W20" s="1">
        <v>10.5</v>
      </c>
    </row>
    <row r="21" spans="1:23" ht="15.75" thickBot="1" x14ac:dyDescent="0.3">
      <c r="A21" s="22"/>
      <c r="B21" s="22" t="s">
        <v>26</v>
      </c>
      <c r="C21" s="22"/>
      <c r="D21" s="22"/>
      <c r="E21" s="22"/>
      <c r="F21" s="53">
        <f>+Assumptions!F35</f>
        <v>7.4999999999999997E-2</v>
      </c>
      <c r="G21" s="33">
        <f>+SUM(G10:G20)*F21/12*6</f>
        <v>7.0878750000000004</v>
      </c>
      <c r="I21" s="5"/>
      <c r="P21" s="1" t="s">
        <v>13</v>
      </c>
      <c r="R21" s="1">
        <v>1</v>
      </c>
      <c r="S21" s="1" t="s">
        <v>8</v>
      </c>
      <c r="T21" s="1">
        <v>55.15</v>
      </c>
      <c r="U21" s="1">
        <v>55.15</v>
      </c>
    </row>
    <row r="22" spans="1:23" x14ac:dyDescent="0.25">
      <c r="A22" s="22"/>
      <c r="B22" s="22"/>
      <c r="C22" s="22"/>
      <c r="D22" s="22"/>
      <c r="E22" s="22"/>
      <c r="F22" s="22"/>
      <c r="G22" s="27">
        <f>SUM(G10:G21)</f>
        <v>196.09787499999999</v>
      </c>
      <c r="I22" s="5"/>
      <c r="P22" s="1" t="s">
        <v>14</v>
      </c>
      <c r="R22" s="1">
        <v>1</v>
      </c>
      <c r="S22" s="1" t="s">
        <v>8</v>
      </c>
      <c r="T22" s="1">
        <v>24.1</v>
      </c>
      <c r="U22" s="1">
        <v>24.1</v>
      </c>
      <c r="W22" s="1">
        <v>1.1000000000000001</v>
      </c>
    </row>
    <row r="23" spans="1:23" x14ac:dyDescent="0.25">
      <c r="A23" s="22" t="s">
        <v>27</v>
      </c>
      <c r="B23" s="22"/>
      <c r="C23" s="22"/>
      <c r="D23" s="22"/>
      <c r="E23" s="22"/>
      <c r="F23" s="22"/>
      <c r="G23" s="22"/>
      <c r="I23" s="5"/>
      <c r="P23" s="1" t="s">
        <v>15</v>
      </c>
      <c r="R23" s="1">
        <v>1</v>
      </c>
      <c r="S23" s="1" t="s">
        <v>8</v>
      </c>
      <c r="T23" s="1">
        <v>0</v>
      </c>
      <c r="U23" s="1">
        <v>0</v>
      </c>
    </row>
    <row r="24" spans="1:23" x14ac:dyDescent="0.25">
      <c r="A24" s="22"/>
      <c r="B24" s="22" t="s">
        <v>28</v>
      </c>
      <c r="C24" s="22"/>
      <c r="D24" s="22">
        <v>1</v>
      </c>
      <c r="E24" s="22" t="s">
        <v>8</v>
      </c>
      <c r="F24" s="31">
        <f>40+2.4+7.2</f>
        <v>49.6</v>
      </c>
      <c r="G24" s="27">
        <f>+D24*F24</f>
        <v>49.6</v>
      </c>
      <c r="P24" s="1" t="s">
        <v>16</v>
      </c>
      <c r="R24" s="1">
        <v>1</v>
      </c>
      <c r="S24" s="1" t="s">
        <v>8</v>
      </c>
      <c r="T24" s="1">
        <v>17</v>
      </c>
      <c r="U24" s="1">
        <v>17</v>
      </c>
    </row>
    <row r="25" spans="1:23" x14ac:dyDescent="0.25">
      <c r="A25" s="22"/>
      <c r="B25" s="22" t="s">
        <v>29</v>
      </c>
      <c r="C25" s="22"/>
      <c r="D25" s="22"/>
      <c r="E25" s="22"/>
      <c r="F25" s="300"/>
      <c r="G25" s="22"/>
      <c r="P25" s="1" t="s">
        <v>17</v>
      </c>
      <c r="R25" s="1">
        <v>1</v>
      </c>
      <c r="S25" s="1" t="s">
        <v>18</v>
      </c>
      <c r="T25" s="1">
        <v>5.55</v>
      </c>
      <c r="U25" s="1">
        <v>5.55</v>
      </c>
    </row>
    <row r="26" spans="1:23" ht="15.75" thickBot="1" x14ac:dyDescent="0.3">
      <c r="A26" s="22"/>
      <c r="B26" s="22"/>
      <c r="C26" s="22" t="s">
        <v>30</v>
      </c>
      <c r="D26" s="22">
        <v>1</v>
      </c>
      <c r="E26" s="22" t="s">
        <v>8</v>
      </c>
      <c r="F26" s="31">
        <v>0</v>
      </c>
      <c r="G26" s="33">
        <f>+D26*F26</f>
        <v>0</v>
      </c>
      <c r="P26" s="1" t="s">
        <v>19</v>
      </c>
      <c r="R26" s="1">
        <v>0</v>
      </c>
      <c r="S26" s="1" t="s">
        <v>20</v>
      </c>
      <c r="T26" s="1">
        <v>0</v>
      </c>
      <c r="U26" s="1">
        <v>0</v>
      </c>
    </row>
    <row r="27" spans="1:23" ht="15.75" thickBot="1" x14ac:dyDescent="0.3">
      <c r="A27" s="22"/>
      <c r="B27" s="22"/>
      <c r="C27" s="22"/>
      <c r="D27" s="22" t="s">
        <v>31</v>
      </c>
      <c r="E27" s="22"/>
      <c r="F27" s="300"/>
      <c r="G27" s="34">
        <f>+G24+G26</f>
        <v>49.6</v>
      </c>
      <c r="P27" s="1" t="s">
        <v>21</v>
      </c>
      <c r="R27" s="1">
        <v>1</v>
      </c>
      <c r="S27" s="1" t="s">
        <v>8</v>
      </c>
      <c r="T27" s="1">
        <v>7.91</v>
      </c>
      <c r="U27" s="1">
        <v>7.91</v>
      </c>
    </row>
    <row r="28" spans="1:23" ht="15.75" thickTop="1" x14ac:dyDescent="0.25">
      <c r="A28" s="22"/>
      <c r="B28" s="22"/>
      <c r="C28" s="22"/>
      <c r="D28" s="22"/>
      <c r="E28" s="22"/>
      <c r="F28" s="300"/>
      <c r="G28" s="22"/>
      <c r="P28" s="1" t="s">
        <v>22</v>
      </c>
      <c r="R28" s="1">
        <v>0.1</v>
      </c>
      <c r="S28" s="1" t="s">
        <v>23</v>
      </c>
      <c r="T28" s="1">
        <v>9.52</v>
      </c>
      <c r="U28" s="1">
        <v>0.95199999999999996</v>
      </c>
    </row>
    <row r="29" spans="1:23" ht="15.75" thickBot="1" x14ac:dyDescent="0.3">
      <c r="A29" s="22" t="s">
        <v>32</v>
      </c>
      <c r="B29" s="22"/>
      <c r="C29" s="22"/>
      <c r="D29" s="22">
        <v>1</v>
      </c>
      <c r="E29" s="22" t="s">
        <v>8</v>
      </c>
      <c r="F29" s="31">
        <v>0</v>
      </c>
      <c r="G29" s="35">
        <f>+D29*F29</f>
        <v>0</v>
      </c>
      <c r="P29" s="1" t="s">
        <v>24</v>
      </c>
      <c r="R29" s="1">
        <v>1</v>
      </c>
      <c r="S29" s="1" t="s">
        <v>8</v>
      </c>
      <c r="T29" s="1">
        <v>0</v>
      </c>
      <c r="U29" s="1">
        <v>0</v>
      </c>
    </row>
    <row r="30" spans="1:23" ht="15.75" thickTop="1" x14ac:dyDescent="0.25">
      <c r="A30" s="22"/>
      <c r="B30" s="22"/>
      <c r="C30" s="22"/>
      <c r="D30" s="22"/>
      <c r="E30" s="22"/>
      <c r="F30" s="22"/>
      <c r="G30" s="22"/>
      <c r="P30" s="1" t="s">
        <v>154</v>
      </c>
      <c r="R30" s="1">
        <v>1</v>
      </c>
      <c r="S30" s="1" t="s">
        <v>8</v>
      </c>
      <c r="T30" s="1">
        <v>8.89</v>
      </c>
      <c r="U30" s="1">
        <v>8.89</v>
      </c>
    </row>
    <row r="31" spans="1:23" ht="15.75" thickBot="1" x14ac:dyDescent="0.3">
      <c r="A31" s="22" t="s">
        <v>33</v>
      </c>
      <c r="B31" s="22"/>
      <c r="C31" s="22"/>
      <c r="D31" s="22"/>
      <c r="E31" s="22"/>
      <c r="F31" s="22"/>
      <c r="G31" s="30">
        <f>+G22+G27+G29</f>
        <v>245.69787499999998</v>
      </c>
      <c r="P31" s="1" t="s">
        <v>26</v>
      </c>
      <c r="T31" s="1">
        <v>6.5000000000000002E-2</v>
      </c>
      <c r="U31" s="1">
        <v>4.40869</v>
      </c>
    </row>
    <row r="32" spans="1:23" ht="15.75" thickTop="1" x14ac:dyDescent="0.25">
      <c r="A32" s="22"/>
      <c r="B32" s="22"/>
      <c r="C32" s="22"/>
      <c r="D32" s="22"/>
      <c r="E32" s="22"/>
      <c r="F32" s="22"/>
      <c r="G32" s="22"/>
      <c r="I32" s="1">
        <f>16.1+29.04+35.5+24+2.4+7.2+4.5+12+1.1+4.41+10+9+4.34+5.18+3.44+2.11+0.7+2.81+4.39+7.37</f>
        <v>185.59</v>
      </c>
      <c r="P32" s="1" t="s">
        <v>171</v>
      </c>
      <c r="U32" s="1">
        <v>44</v>
      </c>
    </row>
    <row r="33" spans="1:7" x14ac:dyDescent="0.25">
      <c r="A33" s="22" t="s">
        <v>34</v>
      </c>
      <c r="B33" s="22"/>
      <c r="C33" s="22"/>
      <c r="D33" s="22"/>
      <c r="E33" s="22"/>
      <c r="F33" s="22"/>
      <c r="G33" s="27">
        <f>+G7-G31</f>
        <v>134.30212500000002</v>
      </c>
    </row>
    <row r="34" spans="1:7" x14ac:dyDescent="0.25">
      <c r="A34" s="22"/>
      <c r="B34" s="22" t="s">
        <v>35</v>
      </c>
      <c r="C34" s="22"/>
      <c r="D34" s="22"/>
      <c r="E34" s="22" t="s">
        <v>6</v>
      </c>
      <c r="F34" s="36">
        <f>IF(D3=0,"n/a",(G31-G4-G5-G6)/D3)</f>
        <v>6.1424468749999992</v>
      </c>
      <c r="G34" s="22"/>
    </row>
    <row r="35" spans="1:7" x14ac:dyDescent="0.25">
      <c r="A35" s="22"/>
      <c r="B35" s="22"/>
      <c r="C35" s="22"/>
      <c r="D35" s="22"/>
      <c r="E35" s="22"/>
      <c r="F35" s="22"/>
      <c r="G35" s="22"/>
    </row>
    <row r="36" spans="1:7" x14ac:dyDescent="0.25">
      <c r="A36" s="25" t="s">
        <v>36</v>
      </c>
      <c r="B36" s="25"/>
      <c r="C36" s="25"/>
      <c r="D36" s="25" t="s">
        <v>1</v>
      </c>
      <c r="E36" s="25" t="s">
        <v>2</v>
      </c>
      <c r="F36" s="25" t="s">
        <v>3</v>
      </c>
      <c r="G36" s="25" t="s">
        <v>4</v>
      </c>
    </row>
    <row r="37" spans="1:7" x14ac:dyDescent="0.25">
      <c r="A37" s="22"/>
      <c r="B37" s="22" t="s">
        <v>37</v>
      </c>
      <c r="C37" s="22"/>
      <c r="D37" s="29">
        <v>1</v>
      </c>
      <c r="E37" s="29" t="s">
        <v>8</v>
      </c>
      <c r="F37" s="31">
        <f>1.31+13.95+9.4</f>
        <v>24.66</v>
      </c>
      <c r="G37" s="27">
        <f>D37*F37</f>
        <v>24.66</v>
      </c>
    </row>
    <row r="38" spans="1:7" x14ac:dyDescent="0.25">
      <c r="A38" s="22"/>
      <c r="B38" s="22" t="s">
        <v>119</v>
      </c>
      <c r="C38" s="22"/>
      <c r="D38" s="29">
        <v>1</v>
      </c>
      <c r="E38" s="29" t="s">
        <v>8</v>
      </c>
      <c r="F38" s="31">
        <f>0.6+6.8+2.61</f>
        <v>10.01</v>
      </c>
      <c r="G38" s="27">
        <f t="shared" ref="G38:G45" si="1">D38*F38</f>
        <v>10.01</v>
      </c>
    </row>
    <row r="39" spans="1:7" x14ac:dyDescent="0.25">
      <c r="A39" s="22"/>
      <c r="B39" s="22" t="s">
        <v>39</v>
      </c>
      <c r="C39" s="22"/>
      <c r="D39" s="29">
        <v>1</v>
      </c>
      <c r="E39" s="29" t="s">
        <v>8</v>
      </c>
      <c r="F39" s="31">
        <f>+'[1]Wheat Dual A EGP'!F39</f>
        <v>0</v>
      </c>
      <c r="G39" s="27">
        <f t="shared" si="1"/>
        <v>0</v>
      </c>
    </row>
    <row r="40" spans="1:7" x14ac:dyDescent="0.25">
      <c r="A40" s="22"/>
      <c r="B40" s="22" t="s">
        <v>40</v>
      </c>
      <c r="C40" s="22"/>
      <c r="D40" s="29">
        <v>1</v>
      </c>
      <c r="E40" s="29" t="s">
        <v>8</v>
      </c>
      <c r="F40" s="31">
        <v>30</v>
      </c>
      <c r="G40" s="27">
        <f t="shared" si="1"/>
        <v>30</v>
      </c>
    </row>
    <row r="41" spans="1:7" x14ac:dyDescent="0.25">
      <c r="A41" s="22"/>
      <c r="B41" s="22" t="s">
        <v>41</v>
      </c>
      <c r="C41" s="22"/>
      <c r="D41" s="29">
        <v>1</v>
      </c>
      <c r="E41" s="29" t="s">
        <v>8</v>
      </c>
      <c r="F41" s="31">
        <f>+'[1]Wheat Dual A EGP'!F41</f>
        <v>0</v>
      </c>
      <c r="G41" s="27">
        <f t="shared" si="1"/>
        <v>0</v>
      </c>
    </row>
    <row r="42" spans="1:7" x14ac:dyDescent="0.25">
      <c r="A42" s="22"/>
      <c r="B42" s="22" t="s">
        <v>111</v>
      </c>
      <c r="C42" s="22"/>
      <c r="D42" s="29">
        <v>1</v>
      </c>
      <c r="E42" s="29" t="s">
        <v>8</v>
      </c>
      <c r="F42" s="31">
        <v>0</v>
      </c>
      <c r="G42" s="27">
        <f t="shared" si="1"/>
        <v>0</v>
      </c>
    </row>
    <row r="43" spans="1:7" x14ac:dyDescent="0.25">
      <c r="A43" s="22"/>
      <c r="B43" s="28" t="s">
        <v>43</v>
      </c>
      <c r="C43" s="28"/>
      <c r="D43" s="28">
        <v>1</v>
      </c>
      <c r="E43" s="28" t="s">
        <v>8</v>
      </c>
      <c r="F43" s="31">
        <f>+'[1]Wheat Dual A EGP'!F43</f>
        <v>0</v>
      </c>
      <c r="G43" s="27">
        <f t="shared" si="1"/>
        <v>0</v>
      </c>
    </row>
    <row r="44" spans="1:7" x14ac:dyDescent="0.25">
      <c r="A44" s="22"/>
      <c r="B44" s="28" t="s">
        <v>43</v>
      </c>
      <c r="C44" s="28"/>
      <c r="D44" s="28">
        <v>1</v>
      </c>
      <c r="E44" s="28" t="s">
        <v>8</v>
      </c>
      <c r="F44" s="31">
        <f>+'[1]Wheat Dual A EGP'!F44</f>
        <v>0</v>
      </c>
      <c r="G44" s="27">
        <f t="shared" si="1"/>
        <v>0</v>
      </c>
    </row>
    <row r="45" spans="1:7" ht="15.75" thickBot="1" x14ac:dyDescent="0.3">
      <c r="A45" s="22"/>
      <c r="B45" s="28" t="s">
        <v>43</v>
      </c>
      <c r="C45" s="28"/>
      <c r="D45" s="28">
        <v>1</v>
      </c>
      <c r="E45" s="28" t="s">
        <v>8</v>
      </c>
      <c r="F45" s="31">
        <f>+'[1]Wheat Dual A EGP'!F45</f>
        <v>0</v>
      </c>
      <c r="G45" s="30">
        <f t="shared" si="1"/>
        <v>0</v>
      </c>
    </row>
    <row r="46" spans="1:7" ht="15.75" thickTop="1" x14ac:dyDescent="0.25">
      <c r="A46" s="22"/>
      <c r="B46" s="22"/>
      <c r="C46" s="22"/>
      <c r="D46" s="22"/>
      <c r="E46" s="22"/>
      <c r="F46" s="22"/>
      <c r="G46" s="22"/>
    </row>
    <row r="47" spans="1:7" ht="15.75" thickBot="1" x14ac:dyDescent="0.3">
      <c r="A47" s="22" t="s">
        <v>44</v>
      </c>
      <c r="B47" s="22"/>
      <c r="C47" s="22"/>
      <c r="D47" s="22"/>
      <c r="E47" s="22"/>
      <c r="F47" s="22"/>
      <c r="G47" s="30">
        <f>SUM(G37:G45)</f>
        <v>64.67</v>
      </c>
    </row>
    <row r="48" spans="1:7" ht="15.75" thickTop="1" x14ac:dyDescent="0.25">
      <c r="A48" s="22"/>
      <c r="B48" s="22"/>
      <c r="C48" s="22"/>
      <c r="D48" s="22"/>
      <c r="E48" s="22"/>
      <c r="F48" s="22"/>
      <c r="G48" s="22"/>
    </row>
    <row r="49" spans="1:7" ht="15.75" thickBot="1" x14ac:dyDescent="0.3">
      <c r="A49" s="22" t="s">
        <v>45</v>
      </c>
      <c r="B49" s="22"/>
      <c r="C49" s="22"/>
      <c r="D49" s="22"/>
      <c r="E49" s="22"/>
      <c r="F49" s="22"/>
      <c r="G49" s="30">
        <f>+G31+G47</f>
        <v>310.36787499999997</v>
      </c>
    </row>
    <row r="50" spans="1:7" ht="15.75" thickTop="1" x14ac:dyDescent="0.25">
      <c r="A50" s="22"/>
      <c r="B50" s="22"/>
      <c r="C50" s="22"/>
      <c r="D50" s="22"/>
      <c r="E50" s="22"/>
      <c r="F50" s="22"/>
      <c r="G50" s="22"/>
    </row>
    <row r="51" spans="1:7" x14ac:dyDescent="0.25">
      <c r="A51" s="22" t="s">
        <v>46</v>
      </c>
      <c r="B51" s="22"/>
      <c r="C51" s="22"/>
      <c r="D51" s="22"/>
      <c r="E51" s="22"/>
      <c r="F51" s="22"/>
      <c r="G51" s="27">
        <f>+G7-G49</f>
        <v>69.63212500000003</v>
      </c>
    </row>
    <row r="52" spans="1:7" ht="15.75" thickBot="1" x14ac:dyDescent="0.3">
      <c r="A52" s="37" t="s">
        <v>47</v>
      </c>
      <c r="B52" s="37"/>
      <c r="C52" s="37"/>
      <c r="D52" s="37"/>
      <c r="E52" s="37" t="s">
        <v>6</v>
      </c>
      <c r="F52" s="38">
        <f>IF(D3=0,"n/a",(G49-G4-G5-G6)/D3)</f>
        <v>7.7591968749999989</v>
      </c>
      <c r="G52" s="37"/>
    </row>
    <row r="53" spans="1:7" ht="15.75" thickTop="1" x14ac:dyDescent="0.25"/>
  </sheetData>
  <sheetProtection sheet="1" objects="1" scenarios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E8EEC-77E3-4443-AEF0-B6FF3FE95B6A}">
  <dimension ref="A1:T53"/>
  <sheetViews>
    <sheetView zoomScaleNormal="100" workbookViewId="0">
      <selection activeCell="F1" sqref="F1"/>
    </sheetView>
  </sheetViews>
  <sheetFormatPr defaultRowHeight="15" x14ac:dyDescent="0.25"/>
  <cols>
    <col min="1" max="2" width="3" style="304" customWidth="1"/>
    <col min="3" max="3" width="27.140625" style="304" customWidth="1"/>
    <col min="4" max="7" width="10.140625" style="304" customWidth="1"/>
    <col min="8" max="8" width="9.140625" style="304"/>
    <col min="9" max="20" width="9.140625" style="304" customWidth="1"/>
    <col min="21" max="255" width="9.140625" style="304"/>
    <col min="256" max="257" width="3" style="304" customWidth="1"/>
    <col min="258" max="258" width="27.140625" style="304" customWidth="1"/>
    <col min="259" max="263" width="10.140625" style="304" customWidth="1"/>
    <col min="264" max="511" width="9.140625" style="304"/>
    <col min="512" max="513" width="3" style="304" customWidth="1"/>
    <col min="514" max="514" width="27.140625" style="304" customWidth="1"/>
    <col min="515" max="519" width="10.140625" style="304" customWidth="1"/>
    <col min="520" max="767" width="9.140625" style="304"/>
    <col min="768" max="769" width="3" style="304" customWidth="1"/>
    <col min="770" max="770" width="27.140625" style="304" customWidth="1"/>
    <col min="771" max="775" width="10.140625" style="304" customWidth="1"/>
    <col min="776" max="1023" width="9.140625" style="304"/>
    <col min="1024" max="1025" width="3" style="304" customWidth="1"/>
    <col min="1026" max="1026" width="27.140625" style="304" customWidth="1"/>
    <col min="1027" max="1031" width="10.140625" style="304" customWidth="1"/>
    <col min="1032" max="1279" width="9.140625" style="304"/>
    <col min="1280" max="1281" width="3" style="304" customWidth="1"/>
    <col min="1282" max="1282" width="27.140625" style="304" customWidth="1"/>
    <col min="1283" max="1287" width="10.140625" style="304" customWidth="1"/>
    <col min="1288" max="1535" width="9.140625" style="304"/>
    <col min="1536" max="1537" width="3" style="304" customWidth="1"/>
    <col min="1538" max="1538" width="27.140625" style="304" customWidth="1"/>
    <col min="1539" max="1543" width="10.140625" style="304" customWidth="1"/>
    <col min="1544" max="1791" width="9.140625" style="304"/>
    <col min="1792" max="1793" width="3" style="304" customWidth="1"/>
    <col min="1794" max="1794" width="27.140625" style="304" customWidth="1"/>
    <col min="1795" max="1799" width="10.140625" style="304" customWidth="1"/>
    <col min="1800" max="2047" width="9.140625" style="304"/>
    <col min="2048" max="2049" width="3" style="304" customWidth="1"/>
    <col min="2050" max="2050" width="27.140625" style="304" customWidth="1"/>
    <col min="2051" max="2055" width="10.140625" style="304" customWidth="1"/>
    <col min="2056" max="2303" width="9.140625" style="304"/>
    <col min="2304" max="2305" width="3" style="304" customWidth="1"/>
    <col min="2306" max="2306" width="27.140625" style="304" customWidth="1"/>
    <col min="2307" max="2311" width="10.140625" style="304" customWidth="1"/>
    <col min="2312" max="2559" width="9.140625" style="304"/>
    <col min="2560" max="2561" width="3" style="304" customWidth="1"/>
    <col min="2562" max="2562" width="27.140625" style="304" customWidth="1"/>
    <col min="2563" max="2567" width="10.140625" style="304" customWidth="1"/>
    <col min="2568" max="2815" width="9.140625" style="304"/>
    <col min="2816" max="2817" width="3" style="304" customWidth="1"/>
    <col min="2818" max="2818" width="27.140625" style="304" customWidth="1"/>
    <col min="2819" max="2823" width="10.140625" style="304" customWidth="1"/>
    <col min="2824" max="3071" width="9.140625" style="304"/>
    <col min="3072" max="3073" width="3" style="304" customWidth="1"/>
    <col min="3074" max="3074" width="27.140625" style="304" customWidth="1"/>
    <col min="3075" max="3079" width="10.140625" style="304" customWidth="1"/>
    <col min="3080" max="3327" width="9.140625" style="304"/>
    <col min="3328" max="3329" width="3" style="304" customWidth="1"/>
    <col min="3330" max="3330" width="27.140625" style="304" customWidth="1"/>
    <col min="3331" max="3335" width="10.140625" style="304" customWidth="1"/>
    <col min="3336" max="3583" width="9.140625" style="304"/>
    <col min="3584" max="3585" width="3" style="304" customWidth="1"/>
    <col min="3586" max="3586" width="27.140625" style="304" customWidth="1"/>
    <col min="3587" max="3591" width="10.140625" style="304" customWidth="1"/>
    <col min="3592" max="3839" width="9.140625" style="304"/>
    <col min="3840" max="3841" width="3" style="304" customWidth="1"/>
    <col min="3842" max="3842" width="27.140625" style="304" customWidth="1"/>
    <col min="3843" max="3847" width="10.140625" style="304" customWidth="1"/>
    <col min="3848" max="4095" width="9.140625" style="304"/>
    <col min="4096" max="4097" width="3" style="304" customWidth="1"/>
    <col min="4098" max="4098" width="27.140625" style="304" customWidth="1"/>
    <col min="4099" max="4103" width="10.140625" style="304" customWidth="1"/>
    <col min="4104" max="4351" width="9.140625" style="304"/>
    <col min="4352" max="4353" width="3" style="304" customWidth="1"/>
    <col min="4354" max="4354" width="27.140625" style="304" customWidth="1"/>
    <col min="4355" max="4359" width="10.140625" style="304" customWidth="1"/>
    <col min="4360" max="4607" width="9.140625" style="304"/>
    <col min="4608" max="4609" width="3" style="304" customWidth="1"/>
    <col min="4610" max="4610" width="27.140625" style="304" customWidth="1"/>
    <col min="4611" max="4615" width="10.140625" style="304" customWidth="1"/>
    <col min="4616" max="4863" width="9.140625" style="304"/>
    <col min="4864" max="4865" width="3" style="304" customWidth="1"/>
    <col min="4866" max="4866" width="27.140625" style="304" customWidth="1"/>
    <col min="4867" max="4871" width="10.140625" style="304" customWidth="1"/>
    <col min="4872" max="5119" width="9.140625" style="304"/>
    <col min="5120" max="5121" width="3" style="304" customWidth="1"/>
    <col min="5122" max="5122" width="27.140625" style="304" customWidth="1"/>
    <col min="5123" max="5127" width="10.140625" style="304" customWidth="1"/>
    <col min="5128" max="5375" width="9.140625" style="304"/>
    <col min="5376" max="5377" width="3" style="304" customWidth="1"/>
    <col min="5378" max="5378" width="27.140625" style="304" customWidth="1"/>
    <col min="5379" max="5383" width="10.140625" style="304" customWidth="1"/>
    <col min="5384" max="5631" width="9.140625" style="304"/>
    <col min="5632" max="5633" width="3" style="304" customWidth="1"/>
    <col min="5634" max="5634" width="27.140625" style="304" customWidth="1"/>
    <col min="5635" max="5639" width="10.140625" style="304" customWidth="1"/>
    <col min="5640" max="5887" width="9.140625" style="304"/>
    <col min="5888" max="5889" width="3" style="304" customWidth="1"/>
    <col min="5890" max="5890" width="27.140625" style="304" customWidth="1"/>
    <col min="5891" max="5895" width="10.140625" style="304" customWidth="1"/>
    <col min="5896" max="6143" width="9.140625" style="304"/>
    <col min="6144" max="6145" width="3" style="304" customWidth="1"/>
    <col min="6146" max="6146" width="27.140625" style="304" customWidth="1"/>
    <col min="6147" max="6151" width="10.140625" style="304" customWidth="1"/>
    <col min="6152" max="6399" width="9.140625" style="304"/>
    <col min="6400" max="6401" width="3" style="304" customWidth="1"/>
    <col min="6402" max="6402" width="27.140625" style="304" customWidth="1"/>
    <col min="6403" max="6407" width="10.140625" style="304" customWidth="1"/>
    <col min="6408" max="6655" width="9.140625" style="304"/>
    <col min="6656" max="6657" width="3" style="304" customWidth="1"/>
    <col min="6658" max="6658" width="27.140625" style="304" customWidth="1"/>
    <col min="6659" max="6663" width="10.140625" style="304" customWidth="1"/>
    <col min="6664" max="6911" width="9.140625" style="304"/>
    <col min="6912" max="6913" width="3" style="304" customWidth="1"/>
    <col min="6914" max="6914" width="27.140625" style="304" customWidth="1"/>
    <col min="6915" max="6919" width="10.140625" style="304" customWidth="1"/>
    <col min="6920" max="7167" width="9.140625" style="304"/>
    <col min="7168" max="7169" width="3" style="304" customWidth="1"/>
    <col min="7170" max="7170" width="27.140625" style="304" customWidth="1"/>
    <col min="7171" max="7175" width="10.140625" style="304" customWidth="1"/>
    <col min="7176" max="7423" width="9.140625" style="304"/>
    <col min="7424" max="7425" width="3" style="304" customWidth="1"/>
    <col min="7426" max="7426" width="27.140625" style="304" customWidth="1"/>
    <col min="7427" max="7431" width="10.140625" style="304" customWidth="1"/>
    <col min="7432" max="7679" width="9.140625" style="304"/>
    <col min="7680" max="7681" width="3" style="304" customWidth="1"/>
    <col min="7682" max="7682" width="27.140625" style="304" customWidth="1"/>
    <col min="7683" max="7687" width="10.140625" style="304" customWidth="1"/>
    <col min="7688" max="7935" width="9.140625" style="304"/>
    <col min="7936" max="7937" width="3" style="304" customWidth="1"/>
    <col min="7938" max="7938" width="27.140625" style="304" customWidth="1"/>
    <col min="7939" max="7943" width="10.140625" style="304" customWidth="1"/>
    <col min="7944" max="8191" width="9.140625" style="304"/>
    <col min="8192" max="8193" width="3" style="304" customWidth="1"/>
    <col min="8194" max="8194" width="27.140625" style="304" customWidth="1"/>
    <col min="8195" max="8199" width="10.140625" style="304" customWidth="1"/>
    <col min="8200" max="8447" width="9.140625" style="304"/>
    <col min="8448" max="8449" width="3" style="304" customWidth="1"/>
    <col min="8450" max="8450" width="27.140625" style="304" customWidth="1"/>
    <col min="8451" max="8455" width="10.140625" style="304" customWidth="1"/>
    <col min="8456" max="8703" width="9.140625" style="304"/>
    <col min="8704" max="8705" width="3" style="304" customWidth="1"/>
    <col min="8706" max="8706" width="27.140625" style="304" customWidth="1"/>
    <col min="8707" max="8711" width="10.140625" style="304" customWidth="1"/>
    <col min="8712" max="8959" width="9.140625" style="304"/>
    <col min="8960" max="8961" width="3" style="304" customWidth="1"/>
    <col min="8962" max="8962" width="27.140625" style="304" customWidth="1"/>
    <col min="8963" max="8967" width="10.140625" style="304" customWidth="1"/>
    <col min="8968" max="9215" width="9.140625" style="304"/>
    <col min="9216" max="9217" width="3" style="304" customWidth="1"/>
    <col min="9218" max="9218" width="27.140625" style="304" customWidth="1"/>
    <col min="9219" max="9223" width="10.140625" style="304" customWidth="1"/>
    <col min="9224" max="9471" width="9.140625" style="304"/>
    <col min="9472" max="9473" width="3" style="304" customWidth="1"/>
    <col min="9474" max="9474" width="27.140625" style="304" customWidth="1"/>
    <col min="9475" max="9479" width="10.140625" style="304" customWidth="1"/>
    <col min="9480" max="9727" width="9.140625" style="304"/>
    <col min="9728" max="9729" width="3" style="304" customWidth="1"/>
    <col min="9730" max="9730" width="27.140625" style="304" customWidth="1"/>
    <col min="9731" max="9735" width="10.140625" style="304" customWidth="1"/>
    <col min="9736" max="9983" width="9.140625" style="304"/>
    <col min="9984" max="9985" width="3" style="304" customWidth="1"/>
    <col min="9986" max="9986" width="27.140625" style="304" customWidth="1"/>
    <col min="9987" max="9991" width="10.140625" style="304" customWidth="1"/>
    <col min="9992" max="10239" width="9.140625" style="304"/>
    <col min="10240" max="10241" width="3" style="304" customWidth="1"/>
    <col min="10242" max="10242" width="27.140625" style="304" customWidth="1"/>
    <col min="10243" max="10247" width="10.140625" style="304" customWidth="1"/>
    <col min="10248" max="10495" width="9.140625" style="304"/>
    <col min="10496" max="10497" width="3" style="304" customWidth="1"/>
    <col min="10498" max="10498" width="27.140625" style="304" customWidth="1"/>
    <col min="10499" max="10503" width="10.140625" style="304" customWidth="1"/>
    <col min="10504" max="10751" width="9.140625" style="304"/>
    <col min="10752" max="10753" width="3" style="304" customWidth="1"/>
    <col min="10754" max="10754" width="27.140625" style="304" customWidth="1"/>
    <col min="10755" max="10759" width="10.140625" style="304" customWidth="1"/>
    <col min="10760" max="11007" width="9.140625" style="304"/>
    <col min="11008" max="11009" width="3" style="304" customWidth="1"/>
    <col min="11010" max="11010" width="27.140625" style="304" customWidth="1"/>
    <col min="11011" max="11015" width="10.140625" style="304" customWidth="1"/>
    <col min="11016" max="11263" width="9.140625" style="304"/>
    <col min="11264" max="11265" width="3" style="304" customWidth="1"/>
    <col min="11266" max="11266" width="27.140625" style="304" customWidth="1"/>
    <col min="11267" max="11271" width="10.140625" style="304" customWidth="1"/>
    <col min="11272" max="11519" width="9.140625" style="304"/>
    <col min="11520" max="11521" width="3" style="304" customWidth="1"/>
    <col min="11522" max="11522" width="27.140625" style="304" customWidth="1"/>
    <col min="11523" max="11527" width="10.140625" style="304" customWidth="1"/>
    <col min="11528" max="11775" width="9.140625" style="304"/>
    <col min="11776" max="11777" width="3" style="304" customWidth="1"/>
    <col min="11778" max="11778" width="27.140625" style="304" customWidth="1"/>
    <col min="11779" max="11783" width="10.140625" style="304" customWidth="1"/>
    <col min="11784" max="12031" width="9.140625" style="304"/>
    <col min="12032" max="12033" width="3" style="304" customWidth="1"/>
    <col min="12034" max="12034" width="27.140625" style="304" customWidth="1"/>
    <col min="12035" max="12039" width="10.140625" style="304" customWidth="1"/>
    <col min="12040" max="12287" width="9.140625" style="304"/>
    <col min="12288" max="12289" width="3" style="304" customWidth="1"/>
    <col min="12290" max="12290" width="27.140625" style="304" customWidth="1"/>
    <col min="12291" max="12295" width="10.140625" style="304" customWidth="1"/>
    <col min="12296" max="12543" width="9.140625" style="304"/>
    <col min="12544" max="12545" width="3" style="304" customWidth="1"/>
    <col min="12546" max="12546" width="27.140625" style="304" customWidth="1"/>
    <col min="12547" max="12551" width="10.140625" style="304" customWidth="1"/>
    <col min="12552" max="12799" width="9.140625" style="304"/>
    <col min="12800" max="12801" width="3" style="304" customWidth="1"/>
    <col min="12802" max="12802" width="27.140625" style="304" customWidth="1"/>
    <col min="12803" max="12807" width="10.140625" style="304" customWidth="1"/>
    <col min="12808" max="13055" width="9.140625" style="304"/>
    <col min="13056" max="13057" width="3" style="304" customWidth="1"/>
    <col min="13058" max="13058" width="27.140625" style="304" customWidth="1"/>
    <col min="13059" max="13063" width="10.140625" style="304" customWidth="1"/>
    <col min="13064" max="13311" width="9.140625" style="304"/>
    <col min="13312" max="13313" width="3" style="304" customWidth="1"/>
    <col min="13314" max="13314" width="27.140625" style="304" customWidth="1"/>
    <col min="13315" max="13319" width="10.140625" style="304" customWidth="1"/>
    <col min="13320" max="13567" width="9.140625" style="304"/>
    <col min="13568" max="13569" width="3" style="304" customWidth="1"/>
    <col min="13570" max="13570" width="27.140625" style="304" customWidth="1"/>
    <col min="13571" max="13575" width="10.140625" style="304" customWidth="1"/>
    <col min="13576" max="13823" width="9.140625" style="304"/>
    <col min="13824" max="13825" width="3" style="304" customWidth="1"/>
    <col min="13826" max="13826" width="27.140625" style="304" customWidth="1"/>
    <col min="13827" max="13831" width="10.140625" style="304" customWidth="1"/>
    <col min="13832" max="14079" width="9.140625" style="304"/>
    <col min="14080" max="14081" width="3" style="304" customWidth="1"/>
    <col min="14082" max="14082" width="27.140625" style="304" customWidth="1"/>
    <col min="14083" max="14087" width="10.140625" style="304" customWidth="1"/>
    <col min="14088" max="14335" width="9.140625" style="304"/>
    <col min="14336" max="14337" width="3" style="304" customWidth="1"/>
    <col min="14338" max="14338" width="27.140625" style="304" customWidth="1"/>
    <col min="14339" max="14343" width="10.140625" style="304" customWidth="1"/>
    <col min="14344" max="14591" width="9.140625" style="304"/>
    <col min="14592" max="14593" width="3" style="304" customWidth="1"/>
    <col min="14594" max="14594" width="27.140625" style="304" customWidth="1"/>
    <col min="14595" max="14599" width="10.140625" style="304" customWidth="1"/>
    <col min="14600" max="14847" width="9.140625" style="304"/>
    <col min="14848" max="14849" width="3" style="304" customWidth="1"/>
    <col min="14850" max="14850" width="27.140625" style="304" customWidth="1"/>
    <col min="14851" max="14855" width="10.140625" style="304" customWidth="1"/>
    <col min="14856" max="15103" width="9.140625" style="304"/>
    <col min="15104" max="15105" width="3" style="304" customWidth="1"/>
    <col min="15106" max="15106" width="27.140625" style="304" customWidth="1"/>
    <col min="15107" max="15111" width="10.140625" style="304" customWidth="1"/>
    <col min="15112" max="15359" width="9.140625" style="304"/>
    <col min="15360" max="15361" width="3" style="304" customWidth="1"/>
    <col min="15362" max="15362" width="27.140625" style="304" customWidth="1"/>
    <col min="15363" max="15367" width="10.140625" style="304" customWidth="1"/>
    <col min="15368" max="15615" width="9.140625" style="304"/>
    <col min="15616" max="15617" width="3" style="304" customWidth="1"/>
    <col min="15618" max="15618" width="27.140625" style="304" customWidth="1"/>
    <col min="15619" max="15623" width="10.140625" style="304" customWidth="1"/>
    <col min="15624" max="15871" width="9.140625" style="304"/>
    <col min="15872" max="15873" width="3" style="304" customWidth="1"/>
    <col min="15874" max="15874" width="27.140625" style="304" customWidth="1"/>
    <col min="15875" max="15879" width="10.140625" style="304" customWidth="1"/>
    <col min="15880" max="16127" width="9.140625" style="304"/>
    <col min="16128" max="16129" width="3" style="304" customWidth="1"/>
    <col min="16130" max="16130" width="27.140625" style="304" customWidth="1"/>
    <col min="16131" max="16135" width="10.140625" style="304" customWidth="1"/>
    <col min="16136" max="16383" width="9.140625" style="304"/>
    <col min="16384" max="16384" width="9.140625" style="304" customWidth="1"/>
  </cols>
  <sheetData>
    <row r="1" spans="1:20" x14ac:dyDescent="0.25">
      <c r="A1" s="301"/>
      <c r="B1" s="302" t="s">
        <v>80</v>
      </c>
      <c r="C1" s="301"/>
      <c r="D1" s="303"/>
      <c r="E1" s="303"/>
      <c r="F1" s="303"/>
      <c r="G1" s="303">
        <v>0</v>
      </c>
    </row>
    <row r="2" spans="1:20" x14ac:dyDescent="0.25">
      <c r="A2" s="305" t="s">
        <v>0</v>
      </c>
      <c r="B2" s="305"/>
      <c r="C2" s="305"/>
      <c r="D2" s="306" t="s">
        <v>1</v>
      </c>
      <c r="E2" s="306" t="s">
        <v>2</v>
      </c>
      <c r="F2" s="306" t="s">
        <v>3</v>
      </c>
      <c r="G2" s="306" t="s">
        <v>4</v>
      </c>
    </row>
    <row r="3" spans="1:20" x14ac:dyDescent="0.25">
      <c r="A3" s="301"/>
      <c r="B3" s="301" t="s">
        <v>5</v>
      </c>
      <c r="C3" s="307"/>
      <c r="D3" s="308">
        <f>+Assumptions!F9</f>
        <v>35</v>
      </c>
      <c r="E3" s="309" t="s">
        <v>88</v>
      </c>
      <c r="F3" s="310">
        <f>+Assumptions!F14</f>
        <v>9.5</v>
      </c>
      <c r="G3" s="311">
        <f>D3*F3</f>
        <v>332.5</v>
      </c>
      <c r="J3" s="304" t="s">
        <v>51</v>
      </c>
      <c r="K3" s="304" t="s">
        <v>52</v>
      </c>
      <c r="L3" s="304" t="s">
        <v>48</v>
      </c>
      <c r="M3" s="304" t="s">
        <v>103</v>
      </c>
      <c r="N3" s="304" t="s">
        <v>49</v>
      </c>
      <c r="O3" s="304" t="s">
        <v>53</v>
      </c>
      <c r="P3" s="304" t="s">
        <v>56</v>
      </c>
      <c r="Q3" s="304" t="s">
        <v>86</v>
      </c>
      <c r="S3" s="304" t="s">
        <v>56</v>
      </c>
    </row>
    <row r="4" spans="1:20" x14ac:dyDescent="0.25">
      <c r="A4" s="301"/>
      <c r="B4" s="307" t="s">
        <v>104</v>
      </c>
      <c r="C4" s="307"/>
      <c r="D4" s="312">
        <f>+M4</f>
        <v>82.5</v>
      </c>
      <c r="E4" s="309" t="s">
        <v>71</v>
      </c>
      <c r="F4" s="310">
        <f>+N4</f>
        <v>0.65</v>
      </c>
      <c r="G4" s="311">
        <f>D4*F4</f>
        <v>53.625</v>
      </c>
      <c r="J4" s="313">
        <f>+_xlfn.DAYS(Assumptions!F25,Assumptions!F20)</f>
        <v>110</v>
      </c>
      <c r="K4" s="304">
        <f>Assumptions!F22</f>
        <v>1.5</v>
      </c>
      <c r="L4" s="304">
        <f>Assumptions!F21</f>
        <v>2</v>
      </c>
      <c r="M4" s="313">
        <f>+J4*K4/L4</f>
        <v>82.5</v>
      </c>
      <c r="N4" s="314">
        <f>+Assumptions!F15</f>
        <v>0.65</v>
      </c>
      <c r="O4" s="304">
        <f>+N4*M4</f>
        <v>53.625</v>
      </c>
      <c r="Q4" s="304">
        <f>O4*2</f>
        <v>107.25</v>
      </c>
      <c r="S4" s="304" t="e">
        <f>+'Wheat Dual ~800Lb'!#REF!</f>
        <v>#REF!</v>
      </c>
      <c r="T4" s="304" t="e">
        <f>+S4*K4*J4</f>
        <v>#REF!</v>
      </c>
    </row>
    <row r="5" spans="1:20" x14ac:dyDescent="0.25">
      <c r="A5" s="301"/>
      <c r="B5" s="307" t="s">
        <v>7</v>
      </c>
      <c r="C5" s="307"/>
      <c r="D5" s="307">
        <v>1</v>
      </c>
      <c r="E5" s="309" t="s">
        <v>8</v>
      </c>
      <c r="F5" s="311">
        <v>0</v>
      </c>
      <c r="G5" s="311">
        <f>D5*F5</f>
        <v>0</v>
      </c>
      <c r="J5" s="313">
        <f>+_xlfn.DAYS(Assumptions!F28,Assumptions!F25)</f>
        <v>47</v>
      </c>
      <c r="K5" s="304">
        <f>+Assumptions!F27</f>
        <v>2.35</v>
      </c>
      <c r="L5" s="304">
        <f>Assumptions!F26</f>
        <v>0.75</v>
      </c>
      <c r="M5" s="313">
        <f>+J5*K5/L5</f>
        <v>147.26666666666668</v>
      </c>
      <c r="N5" s="314">
        <f>+N4</f>
        <v>0.65</v>
      </c>
      <c r="O5" s="304">
        <f>+N5*M5</f>
        <v>95.723333333333343</v>
      </c>
      <c r="Q5" s="304">
        <f>O5*L5</f>
        <v>71.792500000000004</v>
      </c>
      <c r="S5" s="304" t="e">
        <f>+S4</f>
        <v>#REF!</v>
      </c>
      <c r="T5" s="304" t="e">
        <f>+S5*K5*J5</f>
        <v>#REF!</v>
      </c>
    </row>
    <row r="6" spans="1:20" ht="15.75" thickBot="1" x14ac:dyDescent="0.3">
      <c r="A6" s="301"/>
      <c r="B6" s="307" t="s">
        <v>7</v>
      </c>
      <c r="C6" s="307"/>
      <c r="D6" s="307">
        <v>1</v>
      </c>
      <c r="E6" s="309" t="s">
        <v>8</v>
      </c>
      <c r="F6" s="311">
        <v>0</v>
      </c>
      <c r="G6" s="315">
        <f>D6*F6</f>
        <v>0</v>
      </c>
    </row>
    <row r="7" spans="1:20" ht="15.75" thickTop="1" x14ac:dyDescent="0.25">
      <c r="A7" s="316" t="s">
        <v>9</v>
      </c>
      <c r="B7" s="316"/>
      <c r="C7" s="316"/>
      <c r="D7" s="316"/>
      <c r="E7" s="316"/>
      <c r="F7" s="316"/>
      <c r="G7" s="317">
        <f>SUM(G3:G6)</f>
        <v>386.125</v>
      </c>
    </row>
    <row r="8" spans="1:20" x14ac:dyDescent="0.25">
      <c r="A8" s="305" t="s">
        <v>10</v>
      </c>
      <c r="B8" s="305"/>
      <c r="C8" s="305"/>
      <c r="D8" s="305" t="s">
        <v>1</v>
      </c>
      <c r="E8" s="305" t="s">
        <v>2</v>
      </c>
      <c r="F8" s="305" t="s">
        <v>3</v>
      </c>
      <c r="G8" s="305" t="s">
        <v>4</v>
      </c>
      <c r="N8" s="304">
        <v>71</v>
      </c>
    </row>
    <row r="9" spans="1:20" x14ac:dyDescent="0.25">
      <c r="A9" s="301" t="s">
        <v>11</v>
      </c>
      <c r="B9" s="301"/>
      <c r="C9" s="301"/>
      <c r="D9" s="301"/>
      <c r="E9" s="301"/>
      <c r="F9" s="301"/>
      <c r="G9" s="301"/>
      <c r="N9" s="318">
        <f>+N8*0.5</f>
        <v>35.5</v>
      </c>
    </row>
    <row r="10" spans="1:20" x14ac:dyDescent="0.25">
      <c r="A10" s="301"/>
      <c r="B10" s="301" t="s">
        <v>12</v>
      </c>
      <c r="C10" s="301"/>
      <c r="D10" s="300">
        <v>1</v>
      </c>
      <c r="E10" s="303" t="s">
        <v>8</v>
      </c>
      <c r="F10" s="31">
        <f>+'Wheat Grain'!F10</f>
        <v>15</v>
      </c>
      <c r="G10" s="320">
        <f t="shared" ref="G10:G20" si="0">D10*F10</f>
        <v>15</v>
      </c>
    </row>
    <row r="11" spans="1:20" x14ac:dyDescent="0.25">
      <c r="A11" s="301"/>
      <c r="B11" s="301" t="s">
        <v>13</v>
      </c>
      <c r="C11" s="301"/>
      <c r="D11" s="300">
        <v>1</v>
      </c>
      <c r="E11" s="303" t="s">
        <v>8</v>
      </c>
      <c r="F11" s="31">
        <f>+'Wheat Grain'!F11+15*1</f>
        <v>87.2</v>
      </c>
      <c r="G11" s="320">
        <f t="shared" si="0"/>
        <v>87.2</v>
      </c>
      <c r="K11" s="304">
        <v>44.64</v>
      </c>
    </row>
    <row r="12" spans="1:20" x14ac:dyDescent="0.25">
      <c r="A12" s="301"/>
      <c r="B12" s="301" t="s">
        <v>14</v>
      </c>
      <c r="C12" s="301"/>
      <c r="D12" s="300">
        <v>1</v>
      </c>
      <c r="E12" s="303" t="s">
        <v>8</v>
      </c>
      <c r="F12" s="31">
        <f>+'Wheat Grain'!F12</f>
        <v>49.96</v>
      </c>
      <c r="G12" s="320">
        <f t="shared" si="0"/>
        <v>49.96</v>
      </c>
    </row>
    <row r="13" spans="1:20" x14ac:dyDescent="0.25">
      <c r="A13" s="301"/>
      <c r="B13" s="301" t="s">
        <v>15</v>
      </c>
      <c r="C13" s="301"/>
      <c r="D13" s="300">
        <v>1</v>
      </c>
      <c r="E13" s="303" t="s">
        <v>8</v>
      </c>
      <c r="F13" s="31">
        <f>+'Wheat Grain'!F13</f>
        <v>0</v>
      </c>
      <c r="G13" s="320">
        <f t="shared" si="0"/>
        <v>0</v>
      </c>
    </row>
    <row r="14" spans="1:20" x14ac:dyDescent="0.25">
      <c r="A14" s="301"/>
      <c r="B14" s="301" t="s">
        <v>16</v>
      </c>
      <c r="C14" s="301"/>
      <c r="D14" s="300">
        <v>1</v>
      </c>
      <c r="E14" s="303" t="s">
        <v>8</v>
      </c>
      <c r="F14" s="31">
        <f>+'Wheat Grain'!F14</f>
        <v>12</v>
      </c>
      <c r="G14" s="320">
        <f t="shared" si="0"/>
        <v>12</v>
      </c>
    </row>
    <row r="15" spans="1:20" x14ac:dyDescent="0.25">
      <c r="A15" s="301"/>
      <c r="B15" s="301" t="s">
        <v>17</v>
      </c>
      <c r="C15" s="301"/>
      <c r="D15" s="299">
        <v>1.96</v>
      </c>
      <c r="E15" s="303" t="s">
        <v>18</v>
      </c>
      <c r="F15" s="31">
        <f>+'Wheat Grain'!F15</f>
        <v>9.32</v>
      </c>
      <c r="G15" s="320">
        <f t="shared" si="0"/>
        <v>18.267199999999999</v>
      </c>
    </row>
    <row r="16" spans="1:20" x14ac:dyDescent="0.25">
      <c r="A16" s="301"/>
      <c r="B16" s="301" t="s">
        <v>19</v>
      </c>
      <c r="C16" s="301"/>
      <c r="D16" s="332">
        <v>0.1</v>
      </c>
      <c r="E16" s="303" t="s">
        <v>20</v>
      </c>
      <c r="F16" s="31">
        <f>+'Wheat Grain'!F16</f>
        <v>0</v>
      </c>
      <c r="G16" s="320">
        <f t="shared" si="0"/>
        <v>0</v>
      </c>
    </row>
    <row r="17" spans="1:9" x14ac:dyDescent="0.25">
      <c r="A17" s="301"/>
      <c r="B17" s="301" t="s">
        <v>50</v>
      </c>
      <c r="C17" s="301"/>
      <c r="D17" s="300">
        <v>1</v>
      </c>
      <c r="E17" s="303" t="s">
        <v>8</v>
      </c>
      <c r="F17" s="31">
        <f>+'Wheat Grain'!F17</f>
        <v>16.23</v>
      </c>
      <c r="G17" s="320">
        <f t="shared" si="0"/>
        <v>16.23</v>
      </c>
    </row>
    <row r="18" spans="1:9" x14ac:dyDescent="0.25">
      <c r="A18" s="301"/>
      <c r="B18" s="301" t="s">
        <v>22</v>
      </c>
      <c r="C18" s="301"/>
      <c r="D18" s="299">
        <v>1</v>
      </c>
      <c r="E18" s="303" t="s">
        <v>23</v>
      </c>
      <c r="F18" s="31">
        <f>+'Wheat Grain'!F18</f>
        <v>9.8000000000000007</v>
      </c>
      <c r="G18" s="320">
        <f t="shared" si="0"/>
        <v>9.8000000000000007</v>
      </c>
    </row>
    <row r="19" spans="1:9" x14ac:dyDescent="0.25">
      <c r="A19" s="301"/>
      <c r="B19" s="301" t="s">
        <v>24</v>
      </c>
      <c r="C19" s="301"/>
      <c r="D19" s="300">
        <v>1</v>
      </c>
      <c r="E19" s="303" t="s">
        <v>8</v>
      </c>
      <c r="F19" s="31">
        <f>+'Wheat Grain'!F19</f>
        <v>0</v>
      </c>
      <c r="G19" s="320">
        <f t="shared" si="0"/>
        <v>0</v>
      </c>
    </row>
    <row r="20" spans="1:9" x14ac:dyDescent="0.25">
      <c r="A20" s="301"/>
      <c r="B20" s="301" t="s">
        <v>25</v>
      </c>
      <c r="C20" s="301"/>
      <c r="D20" s="300">
        <v>1</v>
      </c>
      <c r="E20" s="303" t="s">
        <v>8</v>
      </c>
      <c r="F20" s="31">
        <f>+'Wheat Grain'!F20</f>
        <v>4.5</v>
      </c>
      <c r="G20" s="320">
        <f t="shared" si="0"/>
        <v>4.5</v>
      </c>
    </row>
    <row r="21" spans="1:9" ht="15.75" thickBot="1" x14ac:dyDescent="0.3">
      <c r="A21" s="301"/>
      <c r="B21" s="301" t="s">
        <v>26</v>
      </c>
      <c r="C21" s="301"/>
      <c r="D21" s="301"/>
      <c r="E21" s="301"/>
      <c r="F21" s="321">
        <f>+Assumptions!F35</f>
        <v>7.4999999999999997E-2</v>
      </c>
      <c r="G21" s="322">
        <f>+SUM(G10:G20)*F21/12*6</f>
        <v>7.9858949999999993</v>
      </c>
      <c r="I21" s="323"/>
    </row>
    <row r="22" spans="1:9" x14ac:dyDescent="0.25">
      <c r="A22" s="301"/>
      <c r="B22" s="301"/>
      <c r="C22" s="301"/>
      <c r="D22" s="301"/>
      <c r="E22" s="301"/>
      <c r="F22" s="301"/>
      <c r="G22" s="320">
        <f>SUM(G10:G21)</f>
        <v>220.943095</v>
      </c>
    </row>
    <row r="23" spans="1:9" x14ac:dyDescent="0.25">
      <c r="A23" s="301" t="s">
        <v>27</v>
      </c>
      <c r="B23" s="301"/>
      <c r="C23" s="301"/>
      <c r="D23" s="301"/>
      <c r="E23" s="301"/>
      <c r="F23" s="301"/>
      <c r="G23" s="301"/>
    </row>
    <row r="24" spans="1:9" x14ac:dyDescent="0.25">
      <c r="A24" s="301"/>
      <c r="B24" s="301" t="s">
        <v>28</v>
      </c>
      <c r="C24" s="301"/>
      <c r="D24" s="301">
        <v>1</v>
      </c>
      <c r="E24" s="301" t="s">
        <v>8</v>
      </c>
      <c r="F24" s="31">
        <f>'Wheat Grain'!F24</f>
        <v>49.6</v>
      </c>
      <c r="G24" s="320">
        <f>+D24*F24</f>
        <v>49.6</v>
      </c>
    </row>
    <row r="25" spans="1:9" x14ac:dyDescent="0.25">
      <c r="A25" s="301"/>
      <c r="B25" s="301" t="s">
        <v>29</v>
      </c>
      <c r="C25" s="301"/>
      <c r="D25" s="301"/>
      <c r="E25" s="301"/>
      <c r="F25" s="324"/>
      <c r="G25" s="301"/>
    </row>
    <row r="26" spans="1:9" ht="15.75" thickBot="1" x14ac:dyDescent="0.3">
      <c r="A26" s="301"/>
      <c r="B26" s="301"/>
      <c r="C26" s="301" t="s">
        <v>30</v>
      </c>
      <c r="D26" s="301">
        <v>1</v>
      </c>
      <c r="E26" s="301" t="s">
        <v>8</v>
      </c>
      <c r="F26" s="31">
        <v>0</v>
      </c>
      <c r="G26" s="322">
        <f>+D26*F26</f>
        <v>0</v>
      </c>
    </row>
    <row r="27" spans="1:9" ht="15.75" thickBot="1" x14ac:dyDescent="0.3">
      <c r="A27" s="301"/>
      <c r="B27" s="301"/>
      <c r="C27" s="301"/>
      <c r="D27" s="301" t="s">
        <v>31</v>
      </c>
      <c r="E27" s="301"/>
      <c r="F27" s="324"/>
      <c r="G27" s="325">
        <f>+G24+G26</f>
        <v>49.6</v>
      </c>
    </row>
    <row r="28" spans="1:9" ht="15.75" thickTop="1" x14ac:dyDescent="0.25">
      <c r="A28" s="301"/>
      <c r="B28" s="301"/>
      <c r="C28" s="301"/>
      <c r="D28" s="301"/>
      <c r="E28" s="301"/>
      <c r="F28" s="324"/>
      <c r="G28" s="301"/>
    </row>
    <row r="29" spans="1:9" ht="15.75" thickBot="1" x14ac:dyDescent="0.3">
      <c r="A29" s="301" t="s">
        <v>32</v>
      </c>
      <c r="B29" s="301"/>
      <c r="C29" s="301"/>
      <c r="D29" s="301">
        <v>1</v>
      </c>
      <c r="E29" s="301" t="s">
        <v>8</v>
      </c>
      <c r="F29" s="31">
        <v>0</v>
      </c>
      <c r="G29" s="326">
        <f>+D29*F29</f>
        <v>0</v>
      </c>
    </row>
    <row r="30" spans="1:9" ht="15.75" thickTop="1" x14ac:dyDescent="0.25">
      <c r="A30" s="301"/>
      <c r="B30" s="301"/>
      <c r="C30" s="301"/>
      <c r="D30" s="301"/>
      <c r="E30" s="301"/>
      <c r="F30" s="301"/>
      <c r="G30" s="301"/>
    </row>
    <row r="31" spans="1:9" ht="15.75" thickBot="1" x14ac:dyDescent="0.3">
      <c r="A31" s="301" t="s">
        <v>33</v>
      </c>
      <c r="B31" s="301"/>
      <c r="C31" s="301"/>
      <c r="D31" s="301"/>
      <c r="E31" s="301"/>
      <c r="F31" s="301"/>
      <c r="G31" s="327">
        <f>+G22+G27+G29</f>
        <v>270.54309499999999</v>
      </c>
    </row>
    <row r="32" spans="1:9" ht="15.75" thickTop="1" x14ac:dyDescent="0.25">
      <c r="A32" s="301"/>
      <c r="B32" s="301"/>
      <c r="C32" s="301"/>
      <c r="D32" s="301"/>
      <c r="E32" s="301"/>
      <c r="F32" s="301"/>
      <c r="G32" s="301"/>
    </row>
    <row r="33" spans="1:7" x14ac:dyDescent="0.25">
      <c r="A33" s="301" t="s">
        <v>34</v>
      </c>
      <c r="B33" s="301"/>
      <c r="C33" s="301"/>
      <c r="D33" s="301"/>
      <c r="E33" s="301"/>
      <c r="F33" s="301"/>
      <c r="G33" s="320">
        <f>+G7-G31</f>
        <v>115.58190500000001</v>
      </c>
    </row>
    <row r="34" spans="1:7" x14ac:dyDescent="0.25">
      <c r="A34" s="301"/>
      <c r="B34" s="301" t="s">
        <v>35</v>
      </c>
      <c r="C34" s="301"/>
      <c r="D34" s="301"/>
      <c r="E34" s="301" t="s">
        <v>6</v>
      </c>
      <c r="F34" s="328">
        <f>IF(D3=0,"n/a",(G31-G4-G5-G6)/D3)</f>
        <v>6.1976598571428569</v>
      </c>
      <c r="G34" s="301"/>
    </row>
    <row r="35" spans="1:7" x14ac:dyDescent="0.25">
      <c r="A35" s="301"/>
      <c r="B35" s="301"/>
      <c r="C35" s="301"/>
      <c r="D35" s="301"/>
      <c r="E35" s="301"/>
      <c r="F35" s="301"/>
      <c r="G35" s="301"/>
    </row>
    <row r="36" spans="1:7" x14ac:dyDescent="0.25">
      <c r="A36" s="305" t="s">
        <v>36</v>
      </c>
      <c r="B36" s="305"/>
      <c r="C36" s="305"/>
      <c r="D36" s="305" t="s">
        <v>1</v>
      </c>
      <c r="E36" s="305" t="s">
        <v>2</v>
      </c>
      <c r="F36" s="305" t="s">
        <v>3</v>
      </c>
      <c r="G36" s="305" t="s">
        <v>4</v>
      </c>
    </row>
    <row r="37" spans="1:7" x14ac:dyDescent="0.25">
      <c r="A37" s="301"/>
      <c r="B37" s="301" t="s">
        <v>37</v>
      </c>
      <c r="C37" s="301"/>
      <c r="D37" s="300">
        <v>1</v>
      </c>
      <c r="E37" s="300" t="s">
        <v>8</v>
      </c>
      <c r="F37" s="31">
        <f>+'Wheat Grain'!F37</f>
        <v>24.66</v>
      </c>
      <c r="G37" s="320">
        <f>D37*F37</f>
        <v>24.66</v>
      </c>
    </row>
    <row r="38" spans="1:7" x14ac:dyDescent="0.25">
      <c r="A38" s="301"/>
      <c r="B38" s="301" t="s">
        <v>38</v>
      </c>
      <c r="C38" s="301"/>
      <c r="D38" s="300">
        <v>1</v>
      </c>
      <c r="E38" s="300" t="s">
        <v>8</v>
      </c>
      <c r="F38" s="31">
        <f>+'Wheat Grain'!F38</f>
        <v>10.01</v>
      </c>
      <c r="G38" s="320">
        <f t="shared" ref="G38:G45" si="1">D38*F38</f>
        <v>10.01</v>
      </c>
    </row>
    <row r="39" spans="1:7" x14ac:dyDescent="0.25">
      <c r="A39" s="301"/>
      <c r="B39" s="301" t="s">
        <v>39</v>
      </c>
      <c r="C39" s="301"/>
      <c r="D39" s="300">
        <v>1</v>
      </c>
      <c r="E39" s="300" t="s">
        <v>8</v>
      </c>
      <c r="F39" s="31">
        <f>+'Wheat Grain'!F39</f>
        <v>0</v>
      </c>
      <c r="G39" s="320">
        <f t="shared" si="1"/>
        <v>0</v>
      </c>
    </row>
    <row r="40" spans="1:7" x14ac:dyDescent="0.25">
      <c r="A40" s="301"/>
      <c r="B40" s="301" t="s">
        <v>40</v>
      </c>
      <c r="C40" s="301"/>
      <c r="D40" s="300">
        <v>1</v>
      </c>
      <c r="E40" s="300" t="s">
        <v>8</v>
      </c>
      <c r="F40" s="31">
        <f>+'Wheat Grain'!F40</f>
        <v>30</v>
      </c>
      <c r="G40" s="320">
        <f t="shared" si="1"/>
        <v>30</v>
      </c>
    </row>
    <row r="41" spans="1:7" x14ac:dyDescent="0.25">
      <c r="A41" s="301"/>
      <c r="B41" s="301" t="s">
        <v>41</v>
      </c>
      <c r="C41" s="301"/>
      <c r="D41" s="300">
        <v>1</v>
      </c>
      <c r="E41" s="300" t="s">
        <v>8</v>
      </c>
      <c r="F41" s="31">
        <f>+'Wheat Grain'!F41</f>
        <v>0</v>
      </c>
      <c r="G41" s="320">
        <f t="shared" si="1"/>
        <v>0</v>
      </c>
    </row>
    <row r="42" spans="1:7" x14ac:dyDescent="0.25">
      <c r="A42" s="301"/>
      <c r="B42" s="301" t="s">
        <v>42</v>
      </c>
      <c r="C42" s="301"/>
      <c r="D42" s="300">
        <v>1</v>
      </c>
      <c r="E42" s="300" t="s">
        <v>8</v>
      </c>
      <c r="F42" s="31">
        <f>+'Wheat Grain'!F42</f>
        <v>0</v>
      </c>
      <c r="G42" s="320">
        <f t="shared" si="1"/>
        <v>0</v>
      </c>
    </row>
    <row r="43" spans="1:7" x14ac:dyDescent="0.25">
      <c r="A43" s="301"/>
      <c r="B43" s="28" t="s">
        <v>43</v>
      </c>
      <c r="C43" s="28"/>
      <c r="D43" s="28">
        <v>1</v>
      </c>
      <c r="E43" s="28" t="s">
        <v>8</v>
      </c>
      <c r="F43" s="31">
        <f>+'Wheat Grain'!F43</f>
        <v>0</v>
      </c>
      <c r="G43" s="320">
        <f t="shared" si="1"/>
        <v>0</v>
      </c>
    </row>
    <row r="44" spans="1:7" x14ac:dyDescent="0.25">
      <c r="A44" s="301"/>
      <c r="B44" s="28" t="s">
        <v>43</v>
      </c>
      <c r="C44" s="28"/>
      <c r="D44" s="28">
        <v>1</v>
      </c>
      <c r="E44" s="28" t="s">
        <v>8</v>
      </c>
      <c r="F44" s="31">
        <f>+'Wheat Graze Out'!F44</f>
        <v>0</v>
      </c>
      <c r="G44" s="320">
        <f t="shared" si="1"/>
        <v>0</v>
      </c>
    </row>
    <row r="45" spans="1:7" ht="15.75" thickBot="1" x14ac:dyDescent="0.3">
      <c r="A45" s="301"/>
      <c r="B45" s="28" t="s">
        <v>43</v>
      </c>
      <c r="C45" s="28"/>
      <c r="D45" s="28">
        <v>1</v>
      </c>
      <c r="E45" s="28" t="s">
        <v>8</v>
      </c>
      <c r="F45" s="31">
        <f>+'Wheat Graze Out'!F45</f>
        <v>0</v>
      </c>
      <c r="G45" s="327">
        <f t="shared" si="1"/>
        <v>0</v>
      </c>
    </row>
    <row r="46" spans="1:7" ht="15.75" thickTop="1" x14ac:dyDescent="0.25">
      <c r="A46" s="301"/>
      <c r="B46" s="301"/>
      <c r="C46" s="301"/>
      <c r="D46" s="301"/>
      <c r="E46" s="301"/>
      <c r="F46" s="301"/>
      <c r="G46" s="301"/>
    </row>
    <row r="47" spans="1:7" ht="15.75" thickBot="1" x14ac:dyDescent="0.3">
      <c r="A47" s="301" t="s">
        <v>44</v>
      </c>
      <c r="B47" s="301"/>
      <c r="C47" s="301"/>
      <c r="D47" s="301"/>
      <c r="E47" s="301"/>
      <c r="F47" s="301"/>
      <c r="G47" s="327">
        <f>SUM(G37:G45)</f>
        <v>64.67</v>
      </c>
    </row>
    <row r="48" spans="1:7" ht="15.75" thickTop="1" x14ac:dyDescent="0.25">
      <c r="A48" s="301"/>
      <c r="B48" s="301"/>
      <c r="C48" s="301"/>
      <c r="D48" s="301"/>
      <c r="E48" s="301"/>
      <c r="F48" s="301"/>
      <c r="G48" s="301"/>
    </row>
    <row r="49" spans="1:7" ht="15.75" thickBot="1" x14ac:dyDescent="0.3">
      <c r="A49" s="301" t="s">
        <v>45</v>
      </c>
      <c r="B49" s="301"/>
      <c r="C49" s="301"/>
      <c r="D49" s="301"/>
      <c r="E49" s="301"/>
      <c r="F49" s="301"/>
      <c r="G49" s="327">
        <f>+G31+G47</f>
        <v>335.21309500000001</v>
      </c>
    </row>
    <row r="50" spans="1:7" ht="15.75" thickTop="1" x14ac:dyDescent="0.25">
      <c r="A50" s="301"/>
      <c r="B50" s="301"/>
      <c r="C50" s="301"/>
      <c r="D50" s="301"/>
      <c r="E50" s="301"/>
      <c r="F50" s="301"/>
      <c r="G50" s="301"/>
    </row>
    <row r="51" spans="1:7" x14ac:dyDescent="0.25">
      <c r="A51" s="301" t="s">
        <v>46</v>
      </c>
      <c r="B51" s="301"/>
      <c r="C51" s="301"/>
      <c r="D51" s="301"/>
      <c r="E51" s="301"/>
      <c r="F51" s="301"/>
      <c r="G51" s="320">
        <f>+G7-G49</f>
        <v>50.91190499999999</v>
      </c>
    </row>
    <row r="52" spans="1:7" ht="15.75" thickBot="1" x14ac:dyDescent="0.3">
      <c r="A52" s="330" t="s">
        <v>47</v>
      </c>
      <c r="B52" s="330"/>
      <c r="C52" s="330"/>
      <c r="D52" s="330"/>
      <c r="E52" s="330" t="s">
        <v>6</v>
      </c>
      <c r="F52" s="331">
        <f>IF(D3=0,"n/a",(G49-G4-G5-G6)/D3)</f>
        <v>8.0453741428571437</v>
      </c>
      <c r="G52" s="330"/>
    </row>
    <row r="53" spans="1:7" ht="15.75" thickTop="1" x14ac:dyDescent="0.25"/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94E89-E500-4B3F-ACD2-9391B37D732C}">
  <dimension ref="A1:U53"/>
  <sheetViews>
    <sheetView topLeftCell="A12" zoomScaleNormal="100" workbookViewId="0">
      <selection activeCell="F38" sqref="F38"/>
    </sheetView>
  </sheetViews>
  <sheetFormatPr defaultRowHeight="15" x14ac:dyDescent="0.25"/>
  <cols>
    <col min="1" max="2" width="3" style="304" customWidth="1"/>
    <col min="3" max="3" width="27.140625" style="304" customWidth="1"/>
    <col min="4" max="7" width="10.140625" style="304" customWidth="1"/>
    <col min="8" max="8" width="11.42578125" style="304" bestFit="1" customWidth="1"/>
    <col min="9" max="11" width="9.140625" style="304" customWidth="1"/>
    <col min="12" max="12" width="11.7109375" style="304" customWidth="1"/>
    <col min="13" max="21" width="9.140625" style="304" customWidth="1"/>
    <col min="22" max="246" width="9.140625" style="304"/>
    <col min="247" max="248" width="3" style="304" customWidth="1"/>
    <col min="249" max="249" width="27.140625" style="304" customWidth="1"/>
    <col min="250" max="254" width="10.140625" style="304" customWidth="1"/>
    <col min="255" max="502" width="9.140625" style="304"/>
    <col min="503" max="504" width="3" style="304" customWidth="1"/>
    <col min="505" max="505" width="27.140625" style="304" customWidth="1"/>
    <col min="506" max="510" width="10.140625" style="304" customWidth="1"/>
    <col min="511" max="758" width="9.140625" style="304"/>
    <col min="759" max="760" width="3" style="304" customWidth="1"/>
    <col min="761" max="761" width="27.140625" style="304" customWidth="1"/>
    <col min="762" max="766" width="10.140625" style="304" customWidth="1"/>
    <col min="767" max="1014" width="9.140625" style="304"/>
    <col min="1015" max="1016" width="3" style="304" customWidth="1"/>
    <col min="1017" max="1017" width="27.140625" style="304" customWidth="1"/>
    <col min="1018" max="1022" width="10.140625" style="304" customWidth="1"/>
    <col min="1023" max="1270" width="9.140625" style="304"/>
    <col min="1271" max="1272" width="3" style="304" customWidth="1"/>
    <col min="1273" max="1273" width="27.140625" style="304" customWidth="1"/>
    <col min="1274" max="1278" width="10.140625" style="304" customWidth="1"/>
    <col min="1279" max="1526" width="9.140625" style="304"/>
    <col min="1527" max="1528" width="3" style="304" customWidth="1"/>
    <col min="1529" max="1529" width="27.140625" style="304" customWidth="1"/>
    <col min="1530" max="1534" width="10.140625" style="304" customWidth="1"/>
    <col min="1535" max="1782" width="9.140625" style="304"/>
    <col min="1783" max="1784" width="3" style="304" customWidth="1"/>
    <col min="1785" max="1785" width="27.140625" style="304" customWidth="1"/>
    <col min="1786" max="1790" width="10.140625" style="304" customWidth="1"/>
    <col min="1791" max="2038" width="9.140625" style="304"/>
    <col min="2039" max="2040" width="3" style="304" customWidth="1"/>
    <col min="2041" max="2041" width="27.140625" style="304" customWidth="1"/>
    <col min="2042" max="2046" width="10.140625" style="304" customWidth="1"/>
    <col min="2047" max="2294" width="9.140625" style="304"/>
    <col min="2295" max="2296" width="3" style="304" customWidth="1"/>
    <col min="2297" max="2297" width="27.140625" style="304" customWidth="1"/>
    <col min="2298" max="2302" width="10.140625" style="304" customWidth="1"/>
    <col min="2303" max="2550" width="9.140625" style="304"/>
    <col min="2551" max="2552" width="3" style="304" customWidth="1"/>
    <col min="2553" max="2553" width="27.140625" style="304" customWidth="1"/>
    <col min="2554" max="2558" width="10.140625" style="304" customWidth="1"/>
    <col min="2559" max="2806" width="9.140625" style="304"/>
    <col min="2807" max="2808" width="3" style="304" customWidth="1"/>
    <col min="2809" max="2809" width="27.140625" style="304" customWidth="1"/>
    <col min="2810" max="2814" width="10.140625" style="304" customWidth="1"/>
    <col min="2815" max="3062" width="9.140625" style="304"/>
    <col min="3063" max="3064" width="3" style="304" customWidth="1"/>
    <col min="3065" max="3065" width="27.140625" style="304" customWidth="1"/>
    <col min="3066" max="3070" width="10.140625" style="304" customWidth="1"/>
    <col min="3071" max="3318" width="9.140625" style="304"/>
    <col min="3319" max="3320" width="3" style="304" customWidth="1"/>
    <col min="3321" max="3321" width="27.140625" style="304" customWidth="1"/>
    <col min="3322" max="3326" width="10.140625" style="304" customWidth="1"/>
    <col min="3327" max="3574" width="9.140625" style="304"/>
    <col min="3575" max="3576" width="3" style="304" customWidth="1"/>
    <col min="3577" max="3577" width="27.140625" style="304" customWidth="1"/>
    <col min="3578" max="3582" width="10.140625" style="304" customWidth="1"/>
    <col min="3583" max="3830" width="9.140625" style="304"/>
    <col min="3831" max="3832" width="3" style="304" customWidth="1"/>
    <col min="3833" max="3833" width="27.140625" style="304" customWidth="1"/>
    <col min="3834" max="3838" width="10.140625" style="304" customWidth="1"/>
    <col min="3839" max="4086" width="9.140625" style="304"/>
    <col min="4087" max="4088" width="3" style="304" customWidth="1"/>
    <col min="4089" max="4089" width="27.140625" style="304" customWidth="1"/>
    <col min="4090" max="4094" width="10.140625" style="304" customWidth="1"/>
    <col min="4095" max="4342" width="9.140625" style="304"/>
    <col min="4343" max="4344" width="3" style="304" customWidth="1"/>
    <col min="4345" max="4345" width="27.140625" style="304" customWidth="1"/>
    <col min="4346" max="4350" width="10.140625" style="304" customWidth="1"/>
    <col min="4351" max="4598" width="9.140625" style="304"/>
    <col min="4599" max="4600" width="3" style="304" customWidth="1"/>
    <col min="4601" max="4601" width="27.140625" style="304" customWidth="1"/>
    <col min="4602" max="4606" width="10.140625" style="304" customWidth="1"/>
    <col min="4607" max="4854" width="9.140625" style="304"/>
    <col min="4855" max="4856" width="3" style="304" customWidth="1"/>
    <col min="4857" max="4857" width="27.140625" style="304" customWidth="1"/>
    <col min="4858" max="4862" width="10.140625" style="304" customWidth="1"/>
    <col min="4863" max="5110" width="9.140625" style="304"/>
    <col min="5111" max="5112" width="3" style="304" customWidth="1"/>
    <col min="5113" max="5113" width="27.140625" style="304" customWidth="1"/>
    <col min="5114" max="5118" width="10.140625" style="304" customWidth="1"/>
    <col min="5119" max="5366" width="9.140625" style="304"/>
    <col min="5367" max="5368" width="3" style="304" customWidth="1"/>
    <col min="5369" max="5369" width="27.140625" style="304" customWidth="1"/>
    <col min="5370" max="5374" width="10.140625" style="304" customWidth="1"/>
    <col min="5375" max="5622" width="9.140625" style="304"/>
    <col min="5623" max="5624" width="3" style="304" customWidth="1"/>
    <col min="5625" max="5625" width="27.140625" style="304" customWidth="1"/>
    <col min="5626" max="5630" width="10.140625" style="304" customWidth="1"/>
    <col min="5631" max="5878" width="9.140625" style="304"/>
    <col min="5879" max="5880" width="3" style="304" customWidth="1"/>
    <col min="5881" max="5881" width="27.140625" style="304" customWidth="1"/>
    <col min="5882" max="5886" width="10.140625" style="304" customWidth="1"/>
    <col min="5887" max="6134" width="9.140625" style="304"/>
    <col min="6135" max="6136" width="3" style="304" customWidth="1"/>
    <col min="6137" max="6137" width="27.140625" style="304" customWidth="1"/>
    <col min="6138" max="6142" width="10.140625" style="304" customWidth="1"/>
    <col min="6143" max="6390" width="9.140625" style="304"/>
    <col min="6391" max="6392" width="3" style="304" customWidth="1"/>
    <col min="6393" max="6393" width="27.140625" style="304" customWidth="1"/>
    <col min="6394" max="6398" width="10.140625" style="304" customWidth="1"/>
    <col min="6399" max="6646" width="9.140625" style="304"/>
    <col min="6647" max="6648" width="3" style="304" customWidth="1"/>
    <col min="6649" max="6649" width="27.140625" style="304" customWidth="1"/>
    <col min="6650" max="6654" width="10.140625" style="304" customWidth="1"/>
    <col min="6655" max="6902" width="9.140625" style="304"/>
    <col min="6903" max="6904" width="3" style="304" customWidth="1"/>
    <col min="6905" max="6905" width="27.140625" style="304" customWidth="1"/>
    <col min="6906" max="6910" width="10.140625" style="304" customWidth="1"/>
    <col min="6911" max="7158" width="9.140625" style="304"/>
    <col min="7159" max="7160" width="3" style="304" customWidth="1"/>
    <col min="7161" max="7161" width="27.140625" style="304" customWidth="1"/>
    <col min="7162" max="7166" width="10.140625" style="304" customWidth="1"/>
    <col min="7167" max="7414" width="9.140625" style="304"/>
    <col min="7415" max="7416" width="3" style="304" customWidth="1"/>
    <col min="7417" max="7417" width="27.140625" style="304" customWidth="1"/>
    <col min="7418" max="7422" width="10.140625" style="304" customWidth="1"/>
    <col min="7423" max="7670" width="9.140625" style="304"/>
    <col min="7671" max="7672" width="3" style="304" customWidth="1"/>
    <col min="7673" max="7673" width="27.140625" style="304" customWidth="1"/>
    <col min="7674" max="7678" width="10.140625" style="304" customWidth="1"/>
    <col min="7679" max="7926" width="9.140625" style="304"/>
    <col min="7927" max="7928" width="3" style="304" customWidth="1"/>
    <col min="7929" max="7929" width="27.140625" style="304" customWidth="1"/>
    <col min="7930" max="7934" width="10.140625" style="304" customWidth="1"/>
    <col min="7935" max="8182" width="9.140625" style="304"/>
    <col min="8183" max="8184" width="3" style="304" customWidth="1"/>
    <col min="8185" max="8185" width="27.140625" style="304" customWidth="1"/>
    <col min="8186" max="8190" width="10.140625" style="304" customWidth="1"/>
    <col min="8191" max="8438" width="9.140625" style="304"/>
    <col min="8439" max="8440" width="3" style="304" customWidth="1"/>
    <col min="8441" max="8441" width="27.140625" style="304" customWidth="1"/>
    <col min="8442" max="8446" width="10.140625" style="304" customWidth="1"/>
    <col min="8447" max="8694" width="9.140625" style="304"/>
    <col min="8695" max="8696" width="3" style="304" customWidth="1"/>
    <col min="8697" max="8697" width="27.140625" style="304" customWidth="1"/>
    <col min="8698" max="8702" width="10.140625" style="304" customWidth="1"/>
    <col min="8703" max="8950" width="9.140625" style="304"/>
    <col min="8951" max="8952" width="3" style="304" customWidth="1"/>
    <col min="8953" max="8953" width="27.140625" style="304" customWidth="1"/>
    <col min="8954" max="8958" width="10.140625" style="304" customWidth="1"/>
    <col min="8959" max="9206" width="9.140625" style="304"/>
    <col min="9207" max="9208" width="3" style="304" customWidth="1"/>
    <col min="9209" max="9209" width="27.140625" style="304" customWidth="1"/>
    <col min="9210" max="9214" width="10.140625" style="304" customWidth="1"/>
    <col min="9215" max="9462" width="9.140625" style="304"/>
    <col min="9463" max="9464" width="3" style="304" customWidth="1"/>
    <col min="9465" max="9465" width="27.140625" style="304" customWidth="1"/>
    <col min="9466" max="9470" width="10.140625" style="304" customWidth="1"/>
    <col min="9471" max="9718" width="9.140625" style="304"/>
    <col min="9719" max="9720" width="3" style="304" customWidth="1"/>
    <col min="9721" max="9721" width="27.140625" style="304" customWidth="1"/>
    <col min="9722" max="9726" width="10.140625" style="304" customWidth="1"/>
    <col min="9727" max="9974" width="9.140625" style="304"/>
    <col min="9975" max="9976" width="3" style="304" customWidth="1"/>
    <col min="9977" max="9977" width="27.140625" style="304" customWidth="1"/>
    <col min="9978" max="9982" width="10.140625" style="304" customWidth="1"/>
    <col min="9983" max="10230" width="9.140625" style="304"/>
    <col min="10231" max="10232" width="3" style="304" customWidth="1"/>
    <col min="10233" max="10233" width="27.140625" style="304" customWidth="1"/>
    <col min="10234" max="10238" width="10.140625" style="304" customWidth="1"/>
    <col min="10239" max="10486" width="9.140625" style="304"/>
    <col min="10487" max="10488" width="3" style="304" customWidth="1"/>
    <col min="10489" max="10489" width="27.140625" style="304" customWidth="1"/>
    <col min="10490" max="10494" width="10.140625" style="304" customWidth="1"/>
    <col min="10495" max="10742" width="9.140625" style="304"/>
    <col min="10743" max="10744" width="3" style="304" customWidth="1"/>
    <col min="10745" max="10745" width="27.140625" style="304" customWidth="1"/>
    <col min="10746" max="10750" width="10.140625" style="304" customWidth="1"/>
    <col min="10751" max="10998" width="9.140625" style="304"/>
    <col min="10999" max="11000" width="3" style="304" customWidth="1"/>
    <col min="11001" max="11001" width="27.140625" style="304" customWidth="1"/>
    <col min="11002" max="11006" width="10.140625" style="304" customWidth="1"/>
    <col min="11007" max="11254" width="9.140625" style="304"/>
    <col min="11255" max="11256" width="3" style="304" customWidth="1"/>
    <col min="11257" max="11257" width="27.140625" style="304" customWidth="1"/>
    <col min="11258" max="11262" width="10.140625" style="304" customWidth="1"/>
    <col min="11263" max="11510" width="9.140625" style="304"/>
    <col min="11511" max="11512" width="3" style="304" customWidth="1"/>
    <col min="11513" max="11513" width="27.140625" style="304" customWidth="1"/>
    <col min="11514" max="11518" width="10.140625" style="304" customWidth="1"/>
    <col min="11519" max="11766" width="9.140625" style="304"/>
    <col min="11767" max="11768" width="3" style="304" customWidth="1"/>
    <col min="11769" max="11769" width="27.140625" style="304" customWidth="1"/>
    <col min="11770" max="11774" width="10.140625" style="304" customWidth="1"/>
    <col min="11775" max="12022" width="9.140625" style="304"/>
    <col min="12023" max="12024" width="3" style="304" customWidth="1"/>
    <col min="12025" max="12025" width="27.140625" style="304" customWidth="1"/>
    <col min="12026" max="12030" width="10.140625" style="304" customWidth="1"/>
    <col min="12031" max="12278" width="9.140625" style="304"/>
    <col min="12279" max="12280" width="3" style="304" customWidth="1"/>
    <col min="12281" max="12281" width="27.140625" style="304" customWidth="1"/>
    <col min="12282" max="12286" width="10.140625" style="304" customWidth="1"/>
    <col min="12287" max="12534" width="9.140625" style="304"/>
    <col min="12535" max="12536" width="3" style="304" customWidth="1"/>
    <col min="12537" max="12537" width="27.140625" style="304" customWidth="1"/>
    <col min="12538" max="12542" width="10.140625" style="304" customWidth="1"/>
    <col min="12543" max="12790" width="9.140625" style="304"/>
    <col min="12791" max="12792" width="3" style="304" customWidth="1"/>
    <col min="12793" max="12793" width="27.140625" style="304" customWidth="1"/>
    <col min="12794" max="12798" width="10.140625" style="304" customWidth="1"/>
    <col min="12799" max="13046" width="9.140625" style="304"/>
    <col min="13047" max="13048" width="3" style="304" customWidth="1"/>
    <col min="13049" max="13049" width="27.140625" style="304" customWidth="1"/>
    <col min="13050" max="13054" width="10.140625" style="304" customWidth="1"/>
    <col min="13055" max="13302" width="9.140625" style="304"/>
    <col min="13303" max="13304" width="3" style="304" customWidth="1"/>
    <col min="13305" max="13305" width="27.140625" style="304" customWidth="1"/>
    <col min="13306" max="13310" width="10.140625" style="304" customWidth="1"/>
    <col min="13311" max="13558" width="9.140625" style="304"/>
    <col min="13559" max="13560" width="3" style="304" customWidth="1"/>
    <col min="13561" max="13561" width="27.140625" style="304" customWidth="1"/>
    <col min="13562" max="13566" width="10.140625" style="304" customWidth="1"/>
    <col min="13567" max="13814" width="9.140625" style="304"/>
    <col min="13815" max="13816" width="3" style="304" customWidth="1"/>
    <col min="13817" max="13817" width="27.140625" style="304" customWidth="1"/>
    <col min="13818" max="13822" width="10.140625" style="304" customWidth="1"/>
    <col min="13823" max="14070" width="9.140625" style="304"/>
    <col min="14071" max="14072" width="3" style="304" customWidth="1"/>
    <col min="14073" max="14073" width="27.140625" style="304" customWidth="1"/>
    <col min="14074" max="14078" width="10.140625" style="304" customWidth="1"/>
    <col min="14079" max="14326" width="9.140625" style="304"/>
    <col min="14327" max="14328" width="3" style="304" customWidth="1"/>
    <col min="14329" max="14329" width="27.140625" style="304" customWidth="1"/>
    <col min="14330" max="14334" width="10.140625" style="304" customWidth="1"/>
    <col min="14335" max="14582" width="9.140625" style="304"/>
    <col min="14583" max="14584" width="3" style="304" customWidth="1"/>
    <col min="14585" max="14585" width="27.140625" style="304" customWidth="1"/>
    <col min="14586" max="14590" width="10.140625" style="304" customWidth="1"/>
    <col min="14591" max="14838" width="9.140625" style="304"/>
    <col min="14839" max="14840" width="3" style="304" customWidth="1"/>
    <col min="14841" max="14841" width="27.140625" style="304" customWidth="1"/>
    <col min="14842" max="14846" width="10.140625" style="304" customWidth="1"/>
    <col min="14847" max="15094" width="9.140625" style="304"/>
    <col min="15095" max="15096" width="3" style="304" customWidth="1"/>
    <col min="15097" max="15097" width="27.140625" style="304" customWidth="1"/>
    <col min="15098" max="15102" width="10.140625" style="304" customWidth="1"/>
    <col min="15103" max="15350" width="9.140625" style="304"/>
    <col min="15351" max="15352" width="3" style="304" customWidth="1"/>
    <col min="15353" max="15353" width="27.140625" style="304" customWidth="1"/>
    <col min="15354" max="15358" width="10.140625" style="304" customWidth="1"/>
    <col min="15359" max="15606" width="9.140625" style="304"/>
    <col min="15607" max="15608" width="3" style="304" customWidth="1"/>
    <col min="15609" max="15609" width="27.140625" style="304" customWidth="1"/>
    <col min="15610" max="15614" width="10.140625" style="304" customWidth="1"/>
    <col min="15615" max="15862" width="9.140625" style="304"/>
    <col min="15863" max="15864" width="3" style="304" customWidth="1"/>
    <col min="15865" max="15865" width="27.140625" style="304" customWidth="1"/>
    <col min="15866" max="15870" width="10.140625" style="304" customWidth="1"/>
    <col min="15871" max="16118" width="9.140625" style="304"/>
    <col min="16119" max="16120" width="3" style="304" customWidth="1"/>
    <col min="16121" max="16121" width="27.140625" style="304" customWidth="1"/>
    <col min="16122" max="16126" width="10.140625" style="304" customWidth="1"/>
    <col min="16127" max="16374" width="9.140625" style="304"/>
    <col min="16375" max="16384" width="9.140625" style="304" customWidth="1"/>
  </cols>
  <sheetData>
    <row r="1" spans="1:21" x14ac:dyDescent="0.25">
      <c r="A1" s="301"/>
      <c r="B1" s="302" t="s">
        <v>79</v>
      </c>
      <c r="C1" s="301"/>
      <c r="D1" s="303"/>
      <c r="E1" s="303"/>
      <c r="F1" s="303"/>
      <c r="G1" s="303"/>
    </row>
    <row r="2" spans="1:21" x14ac:dyDescent="0.25">
      <c r="A2" s="305" t="s">
        <v>0</v>
      </c>
      <c r="B2" s="305"/>
      <c r="C2" s="305"/>
      <c r="D2" s="306" t="s">
        <v>1</v>
      </c>
      <c r="E2" s="306" t="s">
        <v>2</v>
      </c>
      <c r="F2" s="306" t="s">
        <v>3</v>
      </c>
      <c r="G2" s="306" t="s">
        <v>4</v>
      </c>
      <c r="H2" s="333" t="s">
        <v>69</v>
      </c>
      <c r="J2" s="304" t="s">
        <v>132</v>
      </c>
    </row>
    <row r="3" spans="1:21" x14ac:dyDescent="0.25">
      <c r="A3" s="301"/>
      <c r="B3" s="307" t="s">
        <v>5</v>
      </c>
      <c r="C3" s="307"/>
      <c r="D3" s="308">
        <f>+Assumptions!F10</f>
        <v>35</v>
      </c>
      <c r="E3" s="309" t="s">
        <v>88</v>
      </c>
      <c r="F3" s="310">
        <f>+Assumptions!F14</f>
        <v>9.5</v>
      </c>
      <c r="G3" s="311">
        <f>D3*F3*H3</f>
        <v>207.8125</v>
      </c>
      <c r="H3" s="334">
        <f>1-Q5</f>
        <v>0.625</v>
      </c>
      <c r="J3" s="304" t="s">
        <v>51</v>
      </c>
      <c r="K3" s="304" t="s">
        <v>70</v>
      </c>
      <c r="L3" s="304" t="s">
        <v>48</v>
      </c>
      <c r="M3" s="304" t="s">
        <v>71</v>
      </c>
      <c r="N3" s="304" t="s">
        <v>49</v>
      </c>
      <c r="O3" s="304" t="s">
        <v>53</v>
      </c>
      <c r="P3" s="304" t="s">
        <v>105</v>
      </c>
      <c r="Q3" s="304" t="s">
        <v>106</v>
      </c>
      <c r="S3" s="304">
        <v>100</v>
      </c>
    </row>
    <row r="4" spans="1:21" x14ac:dyDescent="0.25">
      <c r="A4" s="301"/>
      <c r="B4" s="307" t="s">
        <v>54</v>
      </c>
      <c r="C4" s="307"/>
      <c r="D4" s="312">
        <f>+M4</f>
        <v>82.5</v>
      </c>
      <c r="E4" s="309" t="s">
        <v>71</v>
      </c>
      <c r="F4" s="311">
        <f>+N4</f>
        <v>0.65</v>
      </c>
      <c r="G4" s="311">
        <f>D4*F4</f>
        <v>53.625</v>
      </c>
      <c r="J4" s="313">
        <f>+'Wheat Dual  ~700Lb'!J4</f>
        <v>110</v>
      </c>
      <c r="K4" s="304">
        <f>Assumptions!F22</f>
        <v>1.5</v>
      </c>
      <c r="L4" s="304">
        <f>Assumptions!F21</f>
        <v>2</v>
      </c>
      <c r="M4" s="304">
        <f>+J4*K4/L4</f>
        <v>82.5</v>
      </c>
      <c r="N4" s="314">
        <f>+'Wheat Dual  ~700Lb'!N4</f>
        <v>0.65</v>
      </c>
      <c r="O4" s="335">
        <f>+N4*M4</f>
        <v>53.625</v>
      </c>
      <c r="P4" s="304">
        <f>1/L4</f>
        <v>0.5</v>
      </c>
      <c r="Q4" s="334">
        <v>1</v>
      </c>
      <c r="S4" s="304">
        <f>1/L4</f>
        <v>0.5</v>
      </c>
      <c r="T4" s="304" t="s">
        <v>139</v>
      </c>
      <c r="U4" s="304">
        <f>+S4*S3</f>
        <v>50</v>
      </c>
    </row>
    <row r="5" spans="1:21" x14ac:dyDescent="0.25">
      <c r="A5" s="301"/>
      <c r="B5" s="307" t="s">
        <v>55</v>
      </c>
      <c r="C5" s="307"/>
      <c r="D5" s="312">
        <f>+M5*Q5</f>
        <v>55.225000000000009</v>
      </c>
      <c r="E5" s="309" t="s">
        <v>71</v>
      </c>
      <c r="F5" s="311">
        <f>+N5</f>
        <v>0.65</v>
      </c>
      <c r="G5" s="311">
        <f>D5*F5</f>
        <v>35.896250000000009</v>
      </c>
      <c r="J5" s="313">
        <f>+'Wheat Dual  ~700Lb'!J5</f>
        <v>47</v>
      </c>
      <c r="K5" s="304">
        <f>+'Wheat Dual  ~700Lb'!K5</f>
        <v>2.35</v>
      </c>
      <c r="L5" s="304">
        <f>Assumptions!F26</f>
        <v>0.75</v>
      </c>
      <c r="M5" s="335">
        <f>+J5*K5/L5</f>
        <v>147.26666666666668</v>
      </c>
      <c r="N5" s="304">
        <f>N4</f>
        <v>0.65</v>
      </c>
      <c r="O5" s="335">
        <f>+N5*M5</f>
        <v>95.723333333333343</v>
      </c>
      <c r="P5" s="335">
        <f>1/L5</f>
        <v>1.3333333333333333</v>
      </c>
      <c r="Q5" s="334">
        <f>+P4/P5</f>
        <v>0.375</v>
      </c>
      <c r="S5" s="304">
        <f>1/L5</f>
        <v>1.3333333333333333</v>
      </c>
      <c r="U5" s="304">
        <f>+S5*S6</f>
        <v>50.666666666666664</v>
      </c>
    </row>
    <row r="6" spans="1:21" ht="15.75" thickBot="1" x14ac:dyDescent="0.3">
      <c r="A6" s="301"/>
      <c r="B6" s="307" t="s">
        <v>7</v>
      </c>
      <c r="C6" s="307"/>
      <c r="D6" s="307">
        <v>1</v>
      </c>
      <c r="E6" s="309" t="s">
        <v>8</v>
      </c>
      <c r="F6" s="311">
        <v>0</v>
      </c>
      <c r="G6" s="315">
        <f>D6*F6</f>
        <v>0</v>
      </c>
      <c r="S6" s="304">
        <v>38</v>
      </c>
    </row>
    <row r="7" spans="1:21" ht="15.75" thickTop="1" x14ac:dyDescent="0.25">
      <c r="A7" s="316" t="s">
        <v>9</v>
      </c>
      <c r="B7" s="316"/>
      <c r="C7" s="316"/>
      <c r="D7" s="316"/>
      <c r="E7" s="316"/>
      <c r="F7" s="316"/>
      <c r="G7" s="317">
        <f>SUM(G3:G6)</f>
        <v>297.33375000000001</v>
      </c>
      <c r="I7" s="323">
        <f>+G5+G4+Q8</f>
        <v>141.02125000000001</v>
      </c>
      <c r="Q7" s="304">
        <v>103</v>
      </c>
    </row>
    <row r="8" spans="1:21" x14ac:dyDescent="0.25">
      <c r="A8" s="305" t="s">
        <v>10</v>
      </c>
      <c r="B8" s="305"/>
      <c r="C8" s="305"/>
      <c r="D8" s="305" t="s">
        <v>1</v>
      </c>
      <c r="E8" s="305" t="s">
        <v>2</v>
      </c>
      <c r="F8" s="305" t="s">
        <v>3</v>
      </c>
      <c r="G8" s="305" t="s">
        <v>4</v>
      </c>
      <c r="Q8" s="318">
        <f>+Q7*S5*Q5</f>
        <v>51.499999999999993</v>
      </c>
    </row>
    <row r="9" spans="1:21" x14ac:dyDescent="0.25">
      <c r="A9" s="301" t="s">
        <v>11</v>
      </c>
      <c r="B9" s="301"/>
      <c r="C9" s="301"/>
      <c r="D9" s="301"/>
      <c r="E9" s="301"/>
      <c r="F9" s="301"/>
      <c r="G9" s="301"/>
    </row>
    <row r="10" spans="1:21" x14ac:dyDescent="0.25">
      <c r="A10" s="301"/>
      <c r="B10" s="301" t="s">
        <v>12</v>
      </c>
      <c r="C10" s="301"/>
      <c r="D10" s="300">
        <v>1</v>
      </c>
      <c r="E10" s="339" t="s">
        <v>8</v>
      </c>
      <c r="F10" s="31">
        <f>+'Wheat Dual  ~700Lb'!F10</f>
        <v>15</v>
      </c>
      <c r="G10" s="320">
        <f>D10*F10</f>
        <v>15</v>
      </c>
    </row>
    <row r="11" spans="1:21" x14ac:dyDescent="0.25">
      <c r="A11" s="301"/>
      <c r="B11" s="301" t="s">
        <v>13</v>
      </c>
      <c r="C11" s="301"/>
      <c r="D11" s="300">
        <v>1</v>
      </c>
      <c r="E11" s="339" t="s">
        <v>8</v>
      </c>
      <c r="F11" s="31">
        <f>+'Wheat Dual  ~700Lb'!F11</f>
        <v>87.2</v>
      </c>
      <c r="G11" s="320">
        <f t="shared" ref="G11:G20" si="0">D11*F11</f>
        <v>87.2</v>
      </c>
    </row>
    <row r="12" spans="1:21" x14ac:dyDescent="0.25">
      <c r="A12" s="301"/>
      <c r="B12" s="301" t="s">
        <v>14</v>
      </c>
      <c r="C12" s="301"/>
      <c r="D12" s="300">
        <v>1</v>
      </c>
      <c r="E12" s="339" t="s">
        <v>8</v>
      </c>
      <c r="F12" s="31">
        <f>+'Wheat Dual  ~700Lb'!F12</f>
        <v>49.96</v>
      </c>
      <c r="G12" s="320">
        <f t="shared" si="0"/>
        <v>49.96</v>
      </c>
    </row>
    <row r="13" spans="1:21" x14ac:dyDescent="0.25">
      <c r="A13" s="301"/>
      <c r="B13" s="301" t="s">
        <v>15</v>
      </c>
      <c r="C13" s="301"/>
      <c r="D13" s="300">
        <v>1</v>
      </c>
      <c r="E13" s="339" t="s">
        <v>8</v>
      </c>
      <c r="F13" s="31">
        <f>+'Wheat Dual  ~700Lb'!F13</f>
        <v>0</v>
      </c>
      <c r="G13" s="320">
        <f t="shared" si="0"/>
        <v>0</v>
      </c>
      <c r="J13" s="304" t="s">
        <v>133</v>
      </c>
    </row>
    <row r="14" spans="1:21" x14ac:dyDescent="0.25">
      <c r="A14" s="301"/>
      <c r="B14" s="301" t="s">
        <v>16</v>
      </c>
      <c r="C14" s="301"/>
      <c r="D14" s="300">
        <v>1</v>
      </c>
      <c r="E14" s="339" t="s">
        <v>8</v>
      </c>
      <c r="F14" s="31">
        <f>+'Wheat Dual  ~700Lb'!F14</f>
        <v>12</v>
      </c>
      <c r="G14" s="320">
        <f t="shared" si="0"/>
        <v>12</v>
      </c>
      <c r="J14" s="304" t="s">
        <v>51</v>
      </c>
      <c r="K14" s="304" t="s">
        <v>70</v>
      </c>
      <c r="L14" s="304" t="s">
        <v>48</v>
      </c>
      <c r="M14" s="304" t="s">
        <v>71</v>
      </c>
      <c r="N14" s="304" t="s">
        <v>49</v>
      </c>
      <c r="O14" s="304" t="s">
        <v>53</v>
      </c>
      <c r="P14" s="304" t="s">
        <v>105</v>
      </c>
      <c r="Q14" s="304" t="s">
        <v>106</v>
      </c>
      <c r="S14" s="304">
        <v>100</v>
      </c>
    </row>
    <row r="15" spans="1:21" x14ac:dyDescent="0.25">
      <c r="A15" s="301"/>
      <c r="B15" s="301" t="s">
        <v>17</v>
      </c>
      <c r="C15" s="301"/>
      <c r="D15" s="299">
        <v>1.96</v>
      </c>
      <c r="E15" s="339" t="s">
        <v>18</v>
      </c>
      <c r="F15" s="31">
        <f>+'Wheat Dual  ~700Lb'!F15</f>
        <v>9.32</v>
      </c>
      <c r="G15" s="320">
        <f>D15*F15</f>
        <v>18.267199999999999</v>
      </c>
      <c r="J15" s="313">
        <f>+J4</f>
        <v>110</v>
      </c>
      <c r="K15" s="304">
        <f>+K4</f>
        <v>1.5</v>
      </c>
      <c r="L15" s="304">
        <f>+L4</f>
        <v>2</v>
      </c>
      <c r="M15" s="304">
        <f>+J15*K15/L15</f>
        <v>82.5</v>
      </c>
      <c r="N15" s="314">
        <v>0.55000000000000004</v>
      </c>
      <c r="O15" s="335">
        <f>+N15*M15</f>
        <v>45.375000000000007</v>
      </c>
      <c r="P15" s="304">
        <f>1/L15</f>
        <v>0.5</v>
      </c>
      <c r="Q15" s="334">
        <v>1</v>
      </c>
      <c r="S15" s="304">
        <f>1/L15</f>
        <v>0.5</v>
      </c>
      <c r="T15" s="304" t="s">
        <v>139</v>
      </c>
      <c r="U15" s="304">
        <f>+S15*S14</f>
        <v>50</v>
      </c>
    </row>
    <row r="16" spans="1:21" x14ac:dyDescent="0.25">
      <c r="A16" s="301"/>
      <c r="B16" s="301" t="s">
        <v>19</v>
      </c>
      <c r="C16" s="301"/>
      <c r="D16" s="332">
        <v>0.1</v>
      </c>
      <c r="E16" s="339" t="s">
        <v>20</v>
      </c>
      <c r="F16" s="31">
        <f>+'Wheat Dual  ~700Lb'!F16</f>
        <v>0</v>
      </c>
      <c r="G16" s="320">
        <f t="shared" si="0"/>
        <v>0</v>
      </c>
      <c r="J16" s="313">
        <f>+J5</f>
        <v>47</v>
      </c>
      <c r="K16" s="304">
        <f>+K5</f>
        <v>2.35</v>
      </c>
      <c r="L16" s="336">
        <f>0.75/Triticale!O24</f>
        <v>0.6561874304783093</v>
      </c>
      <c r="M16" s="335">
        <f>+J16*K16/L16</f>
        <v>168.32081028966158</v>
      </c>
      <c r="N16" s="304">
        <v>0.55000000000000004</v>
      </c>
      <c r="O16" s="335">
        <f>+N16*M16</f>
        <v>92.576445659313876</v>
      </c>
      <c r="P16" s="335">
        <f>1/L16</f>
        <v>1.5239548238086156</v>
      </c>
      <c r="Q16" s="334">
        <f>+P15/P16</f>
        <v>0.32809371523915465</v>
      </c>
      <c r="S16" s="304">
        <f>1/L16</f>
        <v>1.5239548238086156</v>
      </c>
      <c r="U16" s="304">
        <f>+S16*S17</f>
        <v>50.290509185684314</v>
      </c>
    </row>
    <row r="17" spans="1:21" x14ac:dyDescent="0.25">
      <c r="A17" s="301"/>
      <c r="B17" s="301" t="s">
        <v>50</v>
      </c>
      <c r="C17" s="301"/>
      <c r="D17" s="300">
        <v>1</v>
      </c>
      <c r="E17" s="339" t="s">
        <v>8</v>
      </c>
      <c r="F17" s="31">
        <f>+'Wheat Dual  ~700Lb'!F17</f>
        <v>16.23</v>
      </c>
      <c r="G17" s="320">
        <f t="shared" si="0"/>
        <v>16.23</v>
      </c>
      <c r="S17" s="304">
        <v>33</v>
      </c>
    </row>
    <row r="18" spans="1:21" x14ac:dyDescent="0.25">
      <c r="A18" s="301"/>
      <c r="B18" s="301" t="s">
        <v>22</v>
      </c>
      <c r="C18" s="301"/>
      <c r="D18" s="299">
        <v>1</v>
      </c>
      <c r="E18" s="339" t="s">
        <v>23</v>
      </c>
      <c r="F18" s="31">
        <f>+'Wheat Dual  ~700Lb'!F18</f>
        <v>9.8000000000000007</v>
      </c>
      <c r="G18" s="320">
        <f t="shared" si="0"/>
        <v>9.8000000000000007</v>
      </c>
      <c r="L18" s="304">
        <f>50*L16</f>
        <v>32.809371523915466</v>
      </c>
      <c r="Q18" s="304">
        <v>103</v>
      </c>
    </row>
    <row r="19" spans="1:21" x14ac:dyDescent="0.25">
      <c r="A19" s="301"/>
      <c r="B19" s="301" t="s">
        <v>24</v>
      </c>
      <c r="C19" s="301"/>
      <c r="D19" s="300">
        <v>1</v>
      </c>
      <c r="E19" s="339" t="s">
        <v>8</v>
      </c>
      <c r="F19" s="31">
        <f>+'Wheat Dual  ~700Lb'!F19</f>
        <v>0</v>
      </c>
      <c r="G19" s="320">
        <f t="shared" si="0"/>
        <v>0</v>
      </c>
      <c r="Q19" s="318">
        <f>+Q18*S16*Q16</f>
        <v>51.5</v>
      </c>
    </row>
    <row r="20" spans="1:21" x14ac:dyDescent="0.25">
      <c r="A20" s="301"/>
      <c r="B20" s="301" t="s">
        <v>25</v>
      </c>
      <c r="C20" s="301"/>
      <c r="D20" s="300">
        <v>1</v>
      </c>
      <c r="E20" s="339" t="s">
        <v>8</v>
      </c>
      <c r="F20" s="31">
        <f>+'Wheat Dual  ~700Lb'!F20</f>
        <v>4.5</v>
      </c>
      <c r="G20" s="320">
        <f t="shared" si="0"/>
        <v>4.5</v>
      </c>
      <c r="M20" s="314">
        <f>+M15*N15+M16*N16*Q16+Q19</f>
        <v>127.24875</v>
      </c>
    </row>
    <row r="21" spans="1:21" ht="15.75" thickBot="1" x14ac:dyDescent="0.3">
      <c r="A21" s="301"/>
      <c r="B21" s="301" t="s">
        <v>26</v>
      </c>
      <c r="C21" s="301"/>
      <c r="D21" s="301"/>
      <c r="E21" s="301"/>
      <c r="F21" s="321">
        <f>+Assumptions!F35</f>
        <v>7.4999999999999997E-2</v>
      </c>
      <c r="G21" s="322">
        <f>+SUM(G10:G20)*F21/12*6</f>
        <v>7.9858949999999993</v>
      </c>
      <c r="I21" s="323"/>
    </row>
    <row r="22" spans="1:21" x14ac:dyDescent="0.25">
      <c r="A22" s="301"/>
      <c r="B22" s="301"/>
      <c r="C22" s="301"/>
      <c r="D22" s="301"/>
      <c r="E22" s="301"/>
      <c r="F22" s="301"/>
      <c r="G22" s="320">
        <f>SUM(G10:G21)</f>
        <v>220.943095</v>
      </c>
    </row>
    <row r="23" spans="1:21" x14ac:dyDescent="0.25">
      <c r="A23" s="301" t="s">
        <v>27</v>
      </c>
      <c r="B23" s="301"/>
      <c r="C23" s="301"/>
      <c r="D23" s="301"/>
      <c r="E23" s="301"/>
      <c r="F23" s="301"/>
      <c r="G23" s="301"/>
      <c r="J23" s="304" t="s">
        <v>138</v>
      </c>
    </row>
    <row r="24" spans="1:21" x14ac:dyDescent="0.25">
      <c r="A24" s="301"/>
      <c r="B24" s="301" t="s">
        <v>28</v>
      </c>
      <c r="C24" s="301"/>
      <c r="D24" s="301">
        <v>1</v>
      </c>
      <c r="E24" s="301" t="s">
        <v>8</v>
      </c>
      <c r="F24" s="31">
        <f>'Wheat Dual  ~700Lb'!F24</f>
        <v>49.6</v>
      </c>
      <c r="G24" s="320">
        <f>+D24*F24*H3</f>
        <v>31</v>
      </c>
      <c r="J24" s="304" t="s">
        <v>51</v>
      </c>
      <c r="K24" s="304" t="s">
        <v>70</v>
      </c>
      <c r="L24" s="304" t="s">
        <v>48</v>
      </c>
      <c r="M24" s="304" t="s">
        <v>71</v>
      </c>
      <c r="N24" s="304" t="s">
        <v>49</v>
      </c>
      <c r="O24" s="304" t="s">
        <v>53</v>
      </c>
      <c r="P24" s="304" t="s">
        <v>105</v>
      </c>
      <c r="Q24" s="304" t="s">
        <v>106</v>
      </c>
      <c r="S24" s="304">
        <v>100</v>
      </c>
    </row>
    <row r="25" spans="1:21" x14ac:dyDescent="0.25">
      <c r="A25" s="301"/>
      <c r="B25" s="301" t="s">
        <v>29</v>
      </c>
      <c r="C25" s="301"/>
      <c r="D25" s="301"/>
      <c r="E25" s="301"/>
      <c r="F25" s="324"/>
      <c r="G25" s="301"/>
      <c r="J25" s="313">
        <f>+J15</f>
        <v>110</v>
      </c>
      <c r="K25" s="313">
        <f>+K15</f>
        <v>1.5</v>
      </c>
      <c r="L25" s="336">
        <f>+L15</f>
        <v>2</v>
      </c>
      <c r="M25" s="304">
        <f>+J25*K25/L25</f>
        <v>82.5</v>
      </c>
      <c r="N25" s="314">
        <v>0.55000000000000004</v>
      </c>
      <c r="O25" s="335">
        <f>+N25*M25</f>
        <v>45.375000000000007</v>
      </c>
      <c r="P25" s="304">
        <f>1/L25</f>
        <v>0.5</v>
      </c>
      <c r="Q25" s="334">
        <v>1</v>
      </c>
      <c r="S25" s="304">
        <f>1/L25</f>
        <v>0.5</v>
      </c>
      <c r="T25" s="304" t="s">
        <v>139</v>
      </c>
      <c r="U25" s="304">
        <f>+S25*S24</f>
        <v>50</v>
      </c>
    </row>
    <row r="26" spans="1:21" ht="15.75" thickBot="1" x14ac:dyDescent="0.3">
      <c r="A26" s="301"/>
      <c r="B26" s="301"/>
      <c r="C26" s="301" t="s">
        <v>30</v>
      </c>
      <c r="D26" s="301">
        <v>1</v>
      </c>
      <c r="E26" s="301" t="s">
        <v>8</v>
      </c>
      <c r="F26" s="31">
        <v>0</v>
      </c>
      <c r="G26" s="322">
        <f>+D26*F26</f>
        <v>0</v>
      </c>
      <c r="J26" s="313">
        <f>+J16</f>
        <v>47</v>
      </c>
      <c r="K26" s="313">
        <f>+K16</f>
        <v>2.35</v>
      </c>
      <c r="L26" s="336">
        <f>+L5/0.91</f>
        <v>0.82417582417582413</v>
      </c>
      <c r="M26" s="335">
        <f>+J26*K26/L26</f>
        <v>134.01266666666669</v>
      </c>
      <c r="N26" s="304">
        <v>0.55000000000000004</v>
      </c>
      <c r="O26" s="335">
        <f>+N26*M26</f>
        <v>73.706966666666688</v>
      </c>
      <c r="P26" s="335">
        <f>1/L26</f>
        <v>1.2133333333333334</v>
      </c>
      <c r="Q26" s="334">
        <f>+P25/P26</f>
        <v>0.41208791208791207</v>
      </c>
      <c r="S26" s="304">
        <f>1/L26</f>
        <v>1.2133333333333334</v>
      </c>
      <c r="U26" s="304">
        <f>+S26*S27</f>
        <v>43.68</v>
      </c>
    </row>
    <row r="27" spans="1:21" ht="15.75" thickBot="1" x14ac:dyDescent="0.3">
      <c r="A27" s="301"/>
      <c r="B27" s="301"/>
      <c r="C27" s="301"/>
      <c r="D27" s="301" t="s">
        <v>31</v>
      </c>
      <c r="E27" s="301"/>
      <c r="F27" s="324"/>
      <c r="G27" s="325">
        <f>+G24+G26</f>
        <v>31</v>
      </c>
      <c r="S27" s="304">
        <v>36</v>
      </c>
    </row>
    <row r="28" spans="1:21" ht="15.75" thickTop="1" x14ac:dyDescent="0.25">
      <c r="A28" s="301"/>
      <c r="B28" s="301"/>
      <c r="C28" s="301"/>
      <c r="D28" s="301"/>
      <c r="E28" s="301"/>
      <c r="F28" s="324"/>
      <c r="G28" s="301"/>
      <c r="M28" s="314">
        <f>+M25*N25+M26*N26*Q26+Q29</f>
        <v>127.24875000000002</v>
      </c>
      <c r="Q28" s="304">
        <v>103</v>
      </c>
    </row>
    <row r="29" spans="1:21" ht="15.75" thickBot="1" x14ac:dyDescent="0.3">
      <c r="A29" s="301" t="s">
        <v>32</v>
      </c>
      <c r="B29" s="301"/>
      <c r="C29" s="301"/>
      <c r="D29" s="301">
        <v>1</v>
      </c>
      <c r="E29" s="301" t="s">
        <v>8</v>
      </c>
      <c r="F29" s="31">
        <v>0</v>
      </c>
      <c r="G29" s="326">
        <f>+D29*F29</f>
        <v>0</v>
      </c>
      <c r="M29" s="314"/>
      <c r="Q29" s="318">
        <f>+Q28*S26*Q26</f>
        <v>51.5</v>
      </c>
    </row>
    <row r="30" spans="1:21" ht="15.75" thickTop="1" x14ac:dyDescent="0.25">
      <c r="A30" s="301"/>
      <c r="B30" s="301"/>
      <c r="C30" s="301"/>
      <c r="D30" s="301"/>
      <c r="E30" s="301"/>
      <c r="F30" s="301"/>
      <c r="G30" s="301"/>
    </row>
    <row r="31" spans="1:21" ht="15.75" thickBot="1" x14ac:dyDescent="0.3">
      <c r="A31" s="301" t="s">
        <v>33</v>
      </c>
      <c r="B31" s="301"/>
      <c r="C31" s="301"/>
      <c r="D31" s="301"/>
      <c r="E31" s="301"/>
      <c r="F31" s="301"/>
      <c r="G31" s="327">
        <f>+G22+G27+G29</f>
        <v>251.943095</v>
      </c>
    </row>
    <row r="32" spans="1:21" ht="15.75" thickTop="1" x14ac:dyDescent="0.25">
      <c r="A32" s="301"/>
      <c r="B32" s="301"/>
      <c r="C32" s="301"/>
      <c r="D32" s="301"/>
      <c r="E32" s="301"/>
      <c r="F32" s="301"/>
      <c r="G32" s="301"/>
    </row>
    <row r="33" spans="1:16" x14ac:dyDescent="0.25">
      <c r="A33" s="301" t="s">
        <v>34</v>
      </c>
      <c r="B33" s="301"/>
      <c r="C33" s="301"/>
      <c r="D33" s="301"/>
      <c r="E33" s="301"/>
      <c r="F33" s="301"/>
      <c r="G33" s="320">
        <f>+G7-G31</f>
        <v>45.39065500000001</v>
      </c>
    </row>
    <row r="34" spans="1:16" x14ac:dyDescent="0.25">
      <c r="A34" s="301"/>
      <c r="B34" s="301" t="s">
        <v>35</v>
      </c>
      <c r="C34" s="301"/>
      <c r="D34" s="301"/>
      <c r="E34" s="301" t="s">
        <v>6</v>
      </c>
      <c r="F34" s="328">
        <f>IF(D3=0,"n/a",(G31-G4-G5-G6)/D3)</f>
        <v>4.6406241428571429</v>
      </c>
      <c r="G34" s="301"/>
    </row>
    <row r="35" spans="1:16" x14ac:dyDescent="0.25">
      <c r="A35" s="301"/>
      <c r="B35" s="301"/>
      <c r="C35" s="301"/>
      <c r="D35" s="301"/>
      <c r="E35" s="301"/>
      <c r="F35" s="301"/>
      <c r="G35" s="301"/>
    </row>
    <row r="36" spans="1:16" ht="15.75" thickBot="1" x14ac:dyDescent="0.3">
      <c r="A36" s="305" t="s">
        <v>36</v>
      </c>
      <c r="B36" s="305"/>
      <c r="C36" s="305"/>
      <c r="D36" s="305" t="s">
        <v>1</v>
      </c>
      <c r="E36" s="305" t="s">
        <v>2</v>
      </c>
      <c r="F36" s="305" t="s">
        <v>3</v>
      </c>
      <c r="G36" s="305" t="s">
        <v>4</v>
      </c>
      <c r="L36" s="337">
        <f>+'Grazing + Stockers'!X24</f>
        <v>0.52</v>
      </c>
      <c r="M36" s="337">
        <f>+'Grazing + Stockers'!Y24</f>
        <v>0.58500000000000008</v>
      </c>
      <c r="N36" s="337">
        <f>+'Grazing + Stockers'!Z24</f>
        <v>0.65</v>
      </c>
      <c r="O36" s="337">
        <f>+'Grazing + Stockers'!AA24</f>
        <v>0.7</v>
      </c>
      <c r="P36" s="337">
        <f>+'Grazing + Stockers'!AB24</f>
        <v>0.8</v>
      </c>
    </row>
    <row r="37" spans="1:16" ht="15.75" thickTop="1" x14ac:dyDescent="0.25">
      <c r="A37" s="301"/>
      <c r="B37" s="301" t="s">
        <v>37</v>
      </c>
      <c r="C37" s="301"/>
      <c r="D37" s="301">
        <v>1</v>
      </c>
      <c r="E37" s="301" t="s">
        <v>8</v>
      </c>
      <c r="F37" s="31">
        <f>+'Wheat Grain'!F37</f>
        <v>24.66</v>
      </c>
      <c r="G37" s="320">
        <f>D37*F37</f>
        <v>24.66</v>
      </c>
      <c r="L37" s="338">
        <v>140</v>
      </c>
      <c r="M37" s="338">
        <v>121</v>
      </c>
      <c r="N37" s="338">
        <v>103</v>
      </c>
      <c r="O37" s="338">
        <v>53</v>
      </c>
      <c r="P37" s="338">
        <v>20</v>
      </c>
    </row>
    <row r="38" spans="1:16" x14ac:dyDescent="0.25">
      <c r="A38" s="301"/>
      <c r="B38" s="301" t="s">
        <v>38</v>
      </c>
      <c r="C38" s="301"/>
      <c r="D38" s="301">
        <v>1</v>
      </c>
      <c r="E38" s="301" t="s">
        <v>8</v>
      </c>
      <c r="F38" s="31">
        <f>+'Wheat Grain'!F38</f>
        <v>10.01</v>
      </c>
      <c r="G38" s="320">
        <f t="shared" ref="G38:G45" si="1">D38*F38</f>
        <v>10.01</v>
      </c>
      <c r="L38" s="304">
        <f>+L37/$L$15</f>
        <v>70</v>
      </c>
      <c r="M38" s="304">
        <f t="shared" ref="M38:P38" si="2">+M37/$L$15</f>
        <v>60.5</v>
      </c>
      <c r="N38" s="304">
        <f t="shared" si="2"/>
        <v>51.5</v>
      </c>
      <c r="O38" s="304">
        <f t="shared" si="2"/>
        <v>26.5</v>
      </c>
      <c r="P38" s="304">
        <f t="shared" si="2"/>
        <v>10</v>
      </c>
    </row>
    <row r="39" spans="1:16" x14ac:dyDescent="0.25">
      <c r="A39" s="301"/>
      <c r="B39" s="301" t="s">
        <v>39</v>
      </c>
      <c r="C39" s="301"/>
      <c r="D39" s="301">
        <v>1</v>
      </c>
      <c r="E39" s="301" t="s">
        <v>8</v>
      </c>
      <c r="F39" s="31">
        <f>+'Wheat Grain'!F39</f>
        <v>0</v>
      </c>
      <c r="G39" s="320">
        <f t="shared" si="1"/>
        <v>0</v>
      </c>
    </row>
    <row r="40" spans="1:16" x14ac:dyDescent="0.25">
      <c r="A40" s="301"/>
      <c r="B40" s="301" t="s">
        <v>40</v>
      </c>
      <c r="C40" s="301"/>
      <c r="D40" s="301">
        <v>1</v>
      </c>
      <c r="E40" s="301" t="s">
        <v>8</v>
      </c>
      <c r="F40" s="31">
        <f>+'Wheat Grain'!F40</f>
        <v>30</v>
      </c>
      <c r="G40" s="320">
        <f t="shared" si="1"/>
        <v>30</v>
      </c>
    </row>
    <row r="41" spans="1:16" x14ac:dyDescent="0.25">
      <c r="A41" s="301"/>
      <c r="B41" s="301" t="s">
        <v>41</v>
      </c>
      <c r="C41" s="301"/>
      <c r="D41" s="301">
        <v>1</v>
      </c>
      <c r="E41" s="301" t="s">
        <v>8</v>
      </c>
      <c r="F41" s="31">
        <f>+'Wheat Grain'!F41</f>
        <v>0</v>
      </c>
      <c r="G41" s="320">
        <f t="shared" si="1"/>
        <v>0</v>
      </c>
    </row>
    <row r="42" spans="1:16" x14ac:dyDescent="0.25">
      <c r="A42" s="301"/>
      <c r="B42" s="301" t="s">
        <v>42</v>
      </c>
      <c r="C42" s="301"/>
      <c r="D42" s="301">
        <v>1</v>
      </c>
      <c r="E42" s="301" t="s">
        <v>8</v>
      </c>
      <c r="F42" s="31">
        <f>+'Wheat Grain'!F42</f>
        <v>0</v>
      </c>
      <c r="G42" s="320">
        <f t="shared" si="1"/>
        <v>0</v>
      </c>
    </row>
    <row r="43" spans="1:16" x14ac:dyDescent="0.25">
      <c r="A43" s="301"/>
      <c r="B43" s="28" t="s">
        <v>43</v>
      </c>
      <c r="C43" s="28"/>
      <c r="D43" s="28">
        <v>1</v>
      </c>
      <c r="E43" s="28" t="s">
        <v>8</v>
      </c>
      <c r="F43" s="31">
        <f>+'Wheat Graze Out'!F43</f>
        <v>0</v>
      </c>
      <c r="G43" s="320">
        <f t="shared" si="1"/>
        <v>0</v>
      </c>
    </row>
    <row r="44" spans="1:16" x14ac:dyDescent="0.25">
      <c r="A44" s="301"/>
      <c r="B44" s="28" t="s">
        <v>43</v>
      </c>
      <c r="C44" s="28"/>
      <c r="D44" s="28">
        <v>1</v>
      </c>
      <c r="E44" s="28" t="s">
        <v>8</v>
      </c>
      <c r="F44" s="31">
        <f>+'Wheat Graze Out'!F44</f>
        <v>0</v>
      </c>
      <c r="G44" s="320">
        <f t="shared" si="1"/>
        <v>0</v>
      </c>
    </row>
    <row r="45" spans="1:16" ht="15.75" thickBot="1" x14ac:dyDescent="0.3">
      <c r="A45" s="301"/>
      <c r="B45" s="28" t="s">
        <v>43</v>
      </c>
      <c r="C45" s="28"/>
      <c r="D45" s="28">
        <v>1</v>
      </c>
      <c r="E45" s="28" t="s">
        <v>8</v>
      </c>
      <c r="F45" s="31">
        <f>+'Wheat Graze Out'!F45</f>
        <v>0</v>
      </c>
      <c r="G45" s="327">
        <f t="shared" si="1"/>
        <v>0</v>
      </c>
    </row>
    <row r="46" spans="1:16" ht="15.75" thickTop="1" x14ac:dyDescent="0.25">
      <c r="A46" s="301"/>
      <c r="B46" s="301"/>
      <c r="C46" s="301"/>
      <c r="D46" s="301"/>
      <c r="E46" s="301"/>
      <c r="F46" s="301"/>
      <c r="G46" s="301"/>
    </row>
    <row r="47" spans="1:16" ht="15.75" thickBot="1" x14ac:dyDescent="0.3">
      <c r="A47" s="301" t="s">
        <v>44</v>
      </c>
      <c r="B47" s="301"/>
      <c r="C47" s="301"/>
      <c r="D47" s="301"/>
      <c r="E47" s="301"/>
      <c r="F47" s="301"/>
      <c r="G47" s="327">
        <f>SUM(G37:G45)</f>
        <v>64.67</v>
      </c>
    </row>
    <row r="48" spans="1:16" ht="15.75" thickTop="1" x14ac:dyDescent="0.25">
      <c r="A48" s="301"/>
      <c r="B48" s="301"/>
      <c r="C48" s="301"/>
      <c r="D48" s="301"/>
      <c r="E48" s="301"/>
      <c r="F48" s="301"/>
      <c r="G48" s="301"/>
    </row>
    <row r="49" spans="1:7" ht="15.75" thickBot="1" x14ac:dyDescent="0.3">
      <c r="A49" s="301" t="s">
        <v>45</v>
      </c>
      <c r="B49" s="301"/>
      <c r="C49" s="301"/>
      <c r="D49" s="301"/>
      <c r="E49" s="301"/>
      <c r="F49" s="301"/>
      <c r="G49" s="327">
        <f>+G31+G47</f>
        <v>316.61309499999999</v>
      </c>
    </row>
    <row r="50" spans="1:7" ht="15.75" thickTop="1" x14ac:dyDescent="0.25">
      <c r="A50" s="301"/>
      <c r="B50" s="301"/>
      <c r="C50" s="301"/>
      <c r="D50" s="301"/>
      <c r="E50" s="301"/>
      <c r="F50" s="301"/>
      <c r="G50" s="301"/>
    </row>
    <row r="51" spans="1:7" x14ac:dyDescent="0.25">
      <c r="A51" s="301" t="s">
        <v>46</v>
      </c>
      <c r="B51" s="301"/>
      <c r="C51" s="301"/>
      <c r="D51" s="301"/>
      <c r="E51" s="301"/>
      <c r="F51" s="301"/>
      <c r="G51" s="320">
        <f>+G7-G49</f>
        <v>-19.279344999999978</v>
      </c>
    </row>
    <row r="52" spans="1:7" ht="15.75" thickBot="1" x14ac:dyDescent="0.3">
      <c r="A52" s="330" t="s">
        <v>47</v>
      </c>
      <c r="B52" s="330"/>
      <c r="C52" s="330"/>
      <c r="D52" s="330"/>
      <c r="E52" s="330" t="s">
        <v>6</v>
      </c>
      <c r="F52" s="331">
        <f>IF(D3=0,"n/a",(G49-G4-G5-G6)/D3)</f>
        <v>6.4883384285714278</v>
      </c>
      <c r="G52" s="330"/>
    </row>
    <row r="53" spans="1:7" ht="15.75" thickTop="1" x14ac:dyDescent="0.25"/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E0F02-1672-4CB9-83EC-7691F8AE1589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5CFE0-8096-4C2B-B011-07276FAB5087}">
  <dimension ref="A1:T53"/>
  <sheetViews>
    <sheetView workbookViewId="0">
      <selection activeCell="G22" sqref="G22"/>
    </sheetView>
  </sheetViews>
  <sheetFormatPr defaultRowHeight="15" x14ac:dyDescent="0.25"/>
  <cols>
    <col min="1" max="2" width="3" style="304" customWidth="1"/>
    <col min="3" max="3" width="27.140625" style="304" customWidth="1"/>
    <col min="4" max="7" width="10.140625" style="304" customWidth="1"/>
    <col min="8" max="8" width="9.140625" style="304"/>
    <col min="9" max="11" width="9.140625" style="304" customWidth="1"/>
    <col min="12" max="12" width="10" style="304" customWidth="1"/>
    <col min="13" max="20" width="9.140625" style="304" customWidth="1"/>
    <col min="21" max="255" width="9.140625" style="304"/>
    <col min="256" max="257" width="3" style="304" customWidth="1"/>
    <col min="258" max="258" width="27.140625" style="304" customWidth="1"/>
    <col min="259" max="263" width="10.140625" style="304" customWidth="1"/>
    <col min="264" max="511" width="9.140625" style="304"/>
    <col min="512" max="513" width="3" style="304" customWidth="1"/>
    <col min="514" max="514" width="27.140625" style="304" customWidth="1"/>
    <col min="515" max="519" width="10.140625" style="304" customWidth="1"/>
    <col min="520" max="767" width="9.140625" style="304"/>
    <col min="768" max="769" width="3" style="304" customWidth="1"/>
    <col min="770" max="770" width="27.140625" style="304" customWidth="1"/>
    <col min="771" max="775" width="10.140625" style="304" customWidth="1"/>
    <col min="776" max="1023" width="9.140625" style="304"/>
    <col min="1024" max="1025" width="3" style="304" customWidth="1"/>
    <col min="1026" max="1026" width="27.140625" style="304" customWidth="1"/>
    <col min="1027" max="1031" width="10.140625" style="304" customWidth="1"/>
    <col min="1032" max="1279" width="9.140625" style="304"/>
    <col min="1280" max="1281" width="3" style="304" customWidth="1"/>
    <col min="1282" max="1282" width="27.140625" style="304" customWidth="1"/>
    <col min="1283" max="1287" width="10.140625" style="304" customWidth="1"/>
    <col min="1288" max="1535" width="9.140625" style="304"/>
    <col min="1536" max="1537" width="3" style="304" customWidth="1"/>
    <col min="1538" max="1538" width="27.140625" style="304" customWidth="1"/>
    <col min="1539" max="1543" width="10.140625" style="304" customWidth="1"/>
    <col min="1544" max="1791" width="9.140625" style="304"/>
    <col min="1792" max="1793" width="3" style="304" customWidth="1"/>
    <col min="1794" max="1794" width="27.140625" style="304" customWidth="1"/>
    <col min="1795" max="1799" width="10.140625" style="304" customWidth="1"/>
    <col min="1800" max="2047" width="9.140625" style="304"/>
    <col min="2048" max="2049" width="3" style="304" customWidth="1"/>
    <col min="2050" max="2050" width="27.140625" style="304" customWidth="1"/>
    <col min="2051" max="2055" width="10.140625" style="304" customWidth="1"/>
    <col min="2056" max="2303" width="9.140625" style="304"/>
    <col min="2304" max="2305" width="3" style="304" customWidth="1"/>
    <col min="2306" max="2306" width="27.140625" style="304" customWidth="1"/>
    <col min="2307" max="2311" width="10.140625" style="304" customWidth="1"/>
    <col min="2312" max="2559" width="9.140625" style="304"/>
    <col min="2560" max="2561" width="3" style="304" customWidth="1"/>
    <col min="2562" max="2562" width="27.140625" style="304" customWidth="1"/>
    <col min="2563" max="2567" width="10.140625" style="304" customWidth="1"/>
    <col min="2568" max="2815" width="9.140625" style="304"/>
    <col min="2816" max="2817" width="3" style="304" customWidth="1"/>
    <col min="2818" max="2818" width="27.140625" style="304" customWidth="1"/>
    <col min="2819" max="2823" width="10.140625" style="304" customWidth="1"/>
    <col min="2824" max="3071" width="9.140625" style="304"/>
    <col min="3072" max="3073" width="3" style="304" customWidth="1"/>
    <col min="3074" max="3074" width="27.140625" style="304" customWidth="1"/>
    <col min="3075" max="3079" width="10.140625" style="304" customWidth="1"/>
    <col min="3080" max="3327" width="9.140625" style="304"/>
    <col min="3328" max="3329" width="3" style="304" customWidth="1"/>
    <col min="3330" max="3330" width="27.140625" style="304" customWidth="1"/>
    <col min="3331" max="3335" width="10.140625" style="304" customWidth="1"/>
    <col min="3336" max="3583" width="9.140625" style="304"/>
    <col min="3584" max="3585" width="3" style="304" customWidth="1"/>
    <col min="3586" max="3586" width="27.140625" style="304" customWidth="1"/>
    <col min="3587" max="3591" width="10.140625" style="304" customWidth="1"/>
    <col min="3592" max="3839" width="9.140625" style="304"/>
    <col min="3840" max="3841" width="3" style="304" customWidth="1"/>
    <col min="3842" max="3842" width="27.140625" style="304" customWidth="1"/>
    <col min="3843" max="3847" width="10.140625" style="304" customWidth="1"/>
    <col min="3848" max="4095" width="9.140625" style="304"/>
    <col min="4096" max="4097" width="3" style="304" customWidth="1"/>
    <col min="4098" max="4098" width="27.140625" style="304" customWidth="1"/>
    <col min="4099" max="4103" width="10.140625" style="304" customWidth="1"/>
    <col min="4104" max="4351" width="9.140625" style="304"/>
    <col min="4352" max="4353" width="3" style="304" customWidth="1"/>
    <col min="4354" max="4354" width="27.140625" style="304" customWidth="1"/>
    <col min="4355" max="4359" width="10.140625" style="304" customWidth="1"/>
    <col min="4360" max="4607" width="9.140625" style="304"/>
    <col min="4608" max="4609" width="3" style="304" customWidth="1"/>
    <col min="4610" max="4610" width="27.140625" style="304" customWidth="1"/>
    <col min="4611" max="4615" width="10.140625" style="304" customWidth="1"/>
    <col min="4616" max="4863" width="9.140625" style="304"/>
    <col min="4864" max="4865" width="3" style="304" customWidth="1"/>
    <col min="4866" max="4866" width="27.140625" style="304" customWidth="1"/>
    <col min="4867" max="4871" width="10.140625" style="304" customWidth="1"/>
    <col min="4872" max="5119" width="9.140625" style="304"/>
    <col min="5120" max="5121" width="3" style="304" customWidth="1"/>
    <col min="5122" max="5122" width="27.140625" style="304" customWidth="1"/>
    <col min="5123" max="5127" width="10.140625" style="304" customWidth="1"/>
    <col min="5128" max="5375" width="9.140625" style="304"/>
    <col min="5376" max="5377" width="3" style="304" customWidth="1"/>
    <col min="5378" max="5378" width="27.140625" style="304" customWidth="1"/>
    <col min="5379" max="5383" width="10.140625" style="304" customWidth="1"/>
    <col min="5384" max="5631" width="9.140625" style="304"/>
    <col min="5632" max="5633" width="3" style="304" customWidth="1"/>
    <col min="5634" max="5634" width="27.140625" style="304" customWidth="1"/>
    <col min="5635" max="5639" width="10.140625" style="304" customWidth="1"/>
    <col min="5640" max="5887" width="9.140625" style="304"/>
    <col min="5888" max="5889" width="3" style="304" customWidth="1"/>
    <col min="5890" max="5890" width="27.140625" style="304" customWidth="1"/>
    <col min="5891" max="5895" width="10.140625" style="304" customWidth="1"/>
    <col min="5896" max="6143" width="9.140625" style="304"/>
    <col min="6144" max="6145" width="3" style="304" customWidth="1"/>
    <col min="6146" max="6146" width="27.140625" style="304" customWidth="1"/>
    <col min="6147" max="6151" width="10.140625" style="304" customWidth="1"/>
    <col min="6152" max="6399" width="9.140625" style="304"/>
    <col min="6400" max="6401" width="3" style="304" customWidth="1"/>
    <col min="6402" max="6402" width="27.140625" style="304" customWidth="1"/>
    <col min="6403" max="6407" width="10.140625" style="304" customWidth="1"/>
    <col min="6408" max="6655" width="9.140625" style="304"/>
    <col min="6656" max="6657" width="3" style="304" customWidth="1"/>
    <col min="6658" max="6658" width="27.140625" style="304" customWidth="1"/>
    <col min="6659" max="6663" width="10.140625" style="304" customWidth="1"/>
    <col min="6664" max="6911" width="9.140625" style="304"/>
    <col min="6912" max="6913" width="3" style="304" customWidth="1"/>
    <col min="6914" max="6914" width="27.140625" style="304" customWidth="1"/>
    <col min="6915" max="6919" width="10.140625" style="304" customWidth="1"/>
    <col min="6920" max="7167" width="9.140625" style="304"/>
    <col min="7168" max="7169" width="3" style="304" customWidth="1"/>
    <col min="7170" max="7170" width="27.140625" style="304" customWidth="1"/>
    <col min="7171" max="7175" width="10.140625" style="304" customWidth="1"/>
    <col min="7176" max="7423" width="9.140625" style="304"/>
    <col min="7424" max="7425" width="3" style="304" customWidth="1"/>
    <col min="7426" max="7426" width="27.140625" style="304" customWidth="1"/>
    <col min="7427" max="7431" width="10.140625" style="304" customWidth="1"/>
    <col min="7432" max="7679" width="9.140625" style="304"/>
    <col min="7680" max="7681" width="3" style="304" customWidth="1"/>
    <col min="7682" max="7682" width="27.140625" style="304" customWidth="1"/>
    <col min="7683" max="7687" width="10.140625" style="304" customWidth="1"/>
    <col min="7688" max="7935" width="9.140625" style="304"/>
    <col min="7936" max="7937" width="3" style="304" customWidth="1"/>
    <col min="7938" max="7938" width="27.140625" style="304" customWidth="1"/>
    <col min="7939" max="7943" width="10.140625" style="304" customWidth="1"/>
    <col min="7944" max="8191" width="9.140625" style="304"/>
    <col min="8192" max="8193" width="3" style="304" customWidth="1"/>
    <col min="8194" max="8194" width="27.140625" style="304" customWidth="1"/>
    <col min="8195" max="8199" width="10.140625" style="304" customWidth="1"/>
    <col min="8200" max="8447" width="9.140625" style="304"/>
    <col min="8448" max="8449" width="3" style="304" customWidth="1"/>
    <col min="8450" max="8450" width="27.140625" style="304" customWidth="1"/>
    <col min="8451" max="8455" width="10.140625" style="304" customWidth="1"/>
    <col min="8456" max="8703" width="9.140625" style="304"/>
    <col min="8704" max="8705" width="3" style="304" customWidth="1"/>
    <col min="8706" max="8706" width="27.140625" style="304" customWidth="1"/>
    <col min="8707" max="8711" width="10.140625" style="304" customWidth="1"/>
    <col min="8712" max="8959" width="9.140625" style="304"/>
    <col min="8960" max="8961" width="3" style="304" customWidth="1"/>
    <col min="8962" max="8962" width="27.140625" style="304" customWidth="1"/>
    <col min="8963" max="8967" width="10.140625" style="304" customWidth="1"/>
    <col min="8968" max="9215" width="9.140625" style="304"/>
    <col min="9216" max="9217" width="3" style="304" customWidth="1"/>
    <col min="9218" max="9218" width="27.140625" style="304" customWidth="1"/>
    <col min="9219" max="9223" width="10.140625" style="304" customWidth="1"/>
    <col min="9224" max="9471" width="9.140625" style="304"/>
    <col min="9472" max="9473" width="3" style="304" customWidth="1"/>
    <col min="9474" max="9474" width="27.140625" style="304" customWidth="1"/>
    <col min="9475" max="9479" width="10.140625" style="304" customWidth="1"/>
    <col min="9480" max="9727" width="9.140625" style="304"/>
    <col min="9728" max="9729" width="3" style="304" customWidth="1"/>
    <col min="9730" max="9730" width="27.140625" style="304" customWidth="1"/>
    <col min="9731" max="9735" width="10.140625" style="304" customWidth="1"/>
    <col min="9736" max="9983" width="9.140625" style="304"/>
    <col min="9984" max="9985" width="3" style="304" customWidth="1"/>
    <col min="9986" max="9986" width="27.140625" style="304" customWidth="1"/>
    <col min="9987" max="9991" width="10.140625" style="304" customWidth="1"/>
    <col min="9992" max="10239" width="9.140625" style="304"/>
    <col min="10240" max="10241" width="3" style="304" customWidth="1"/>
    <col min="10242" max="10242" width="27.140625" style="304" customWidth="1"/>
    <col min="10243" max="10247" width="10.140625" style="304" customWidth="1"/>
    <col min="10248" max="10495" width="9.140625" style="304"/>
    <col min="10496" max="10497" width="3" style="304" customWidth="1"/>
    <col min="10498" max="10498" width="27.140625" style="304" customWidth="1"/>
    <col min="10499" max="10503" width="10.140625" style="304" customWidth="1"/>
    <col min="10504" max="10751" width="9.140625" style="304"/>
    <col min="10752" max="10753" width="3" style="304" customWidth="1"/>
    <col min="10754" max="10754" width="27.140625" style="304" customWidth="1"/>
    <col min="10755" max="10759" width="10.140625" style="304" customWidth="1"/>
    <col min="10760" max="11007" width="9.140625" style="304"/>
    <col min="11008" max="11009" width="3" style="304" customWidth="1"/>
    <col min="11010" max="11010" width="27.140625" style="304" customWidth="1"/>
    <col min="11011" max="11015" width="10.140625" style="304" customWidth="1"/>
    <col min="11016" max="11263" width="9.140625" style="304"/>
    <col min="11264" max="11265" width="3" style="304" customWidth="1"/>
    <col min="11266" max="11266" width="27.140625" style="304" customWidth="1"/>
    <col min="11267" max="11271" width="10.140625" style="304" customWidth="1"/>
    <col min="11272" max="11519" width="9.140625" style="304"/>
    <col min="11520" max="11521" width="3" style="304" customWidth="1"/>
    <col min="11522" max="11522" width="27.140625" style="304" customWidth="1"/>
    <col min="11523" max="11527" width="10.140625" style="304" customWidth="1"/>
    <col min="11528" max="11775" width="9.140625" style="304"/>
    <col min="11776" max="11777" width="3" style="304" customWidth="1"/>
    <col min="11778" max="11778" width="27.140625" style="304" customWidth="1"/>
    <col min="11779" max="11783" width="10.140625" style="304" customWidth="1"/>
    <col min="11784" max="12031" width="9.140625" style="304"/>
    <col min="12032" max="12033" width="3" style="304" customWidth="1"/>
    <col min="12034" max="12034" width="27.140625" style="304" customWidth="1"/>
    <col min="12035" max="12039" width="10.140625" style="304" customWidth="1"/>
    <col min="12040" max="12287" width="9.140625" style="304"/>
    <col min="12288" max="12289" width="3" style="304" customWidth="1"/>
    <col min="12290" max="12290" width="27.140625" style="304" customWidth="1"/>
    <col min="12291" max="12295" width="10.140625" style="304" customWidth="1"/>
    <col min="12296" max="12543" width="9.140625" style="304"/>
    <col min="12544" max="12545" width="3" style="304" customWidth="1"/>
    <col min="12546" max="12546" width="27.140625" style="304" customWidth="1"/>
    <col min="12547" max="12551" width="10.140625" style="304" customWidth="1"/>
    <col min="12552" max="12799" width="9.140625" style="304"/>
    <col min="12800" max="12801" width="3" style="304" customWidth="1"/>
    <col min="12802" max="12802" width="27.140625" style="304" customWidth="1"/>
    <col min="12803" max="12807" width="10.140625" style="304" customWidth="1"/>
    <col min="12808" max="13055" width="9.140625" style="304"/>
    <col min="13056" max="13057" width="3" style="304" customWidth="1"/>
    <col min="13058" max="13058" width="27.140625" style="304" customWidth="1"/>
    <col min="13059" max="13063" width="10.140625" style="304" customWidth="1"/>
    <col min="13064" max="13311" width="9.140625" style="304"/>
    <col min="13312" max="13313" width="3" style="304" customWidth="1"/>
    <col min="13314" max="13314" width="27.140625" style="304" customWidth="1"/>
    <col min="13315" max="13319" width="10.140625" style="304" customWidth="1"/>
    <col min="13320" max="13567" width="9.140625" style="304"/>
    <col min="13568" max="13569" width="3" style="304" customWidth="1"/>
    <col min="13570" max="13570" width="27.140625" style="304" customWidth="1"/>
    <col min="13571" max="13575" width="10.140625" style="304" customWidth="1"/>
    <col min="13576" max="13823" width="9.140625" style="304"/>
    <col min="13824" max="13825" width="3" style="304" customWidth="1"/>
    <col min="13826" max="13826" width="27.140625" style="304" customWidth="1"/>
    <col min="13827" max="13831" width="10.140625" style="304" customWidth="1"/>
    <col min="13832" max="14079" width="9.140625" style="304"/>
    <col min="14080" max="14081" width="3" style="304" customWidth="1"/>
    <col min="14082" max="14082" width="27.140625" style="304" customWidth="1"/>
    <col min="14083" max="14087" width="10.140625" style="304" customWidth="1"/>
    <col min="14088" max="14335" width="9.140625" style="304"/>
    <col min="14336" max="14337" width="3" style="304" customWidth="1"/>
    <col min="14338" max="14338" width="27.140625" style="304" customWidth="1"/>
    <col min="14339" max="14343" width="10.140625" style="304" customWidth="1"/>
    <col min="14344" max="14591" width="9.140625" style="304"/>
    <col min="14592" max="14593" width="3" style="304" customWidth="1"/>
    <col min="14594" max="14594" width="27.140625" style="304" customWidth="1"/>
    <col min="14595" max="14599" width="10.140625" style="304" customWidth="1"/>
    <col min="14600" max="14847" width="9.140625" style="304"/>
    <col min="14848" max="14849" width="3" style="304" customWidth="1"/>
    <col min="14850" max="14850" width="27.140625" style="304" customWidth="1"/>
    <col min="14851" max="14855" width="10.140625" style="304" customWidth="1"/>
    <col min="14856" max="15103" width="9.140625" style="304"/>
    <col min="15104" max="15105" width="3" style="304" customWidth="1"/>
    <col min="15106" max="15106" width="27.140625" style="304" customWidth="1"/>
    <col min="15107" max="15111" width="10.140625" style="304" customWidth="1"/>
    <col min="15112" max="15359" width="9.140625" style="304"/>
    <col min="15360" max="15361" width="3" style="304" customWidth="1"/>
    <col min="15362" max="15362" width="27.140625" style="304" customWidth="1"/>
    <col min="15363" max="15367" width="10.140625" style="304" customWidth="1"/>
    <col min="15368" max="15615" width="9.140625" style="304"/>
    <col min="15616" max="15617" width="3" style="304" customWidth="1"/>
    <col min="15618" max="15618" width="27.140625" style="304" customWidth="1"/>
    <col min="15619" max="15623" width="10.140625" style="304" customWidth="1"/>
    <col min="15624" max="15871" width="9.140625" style="304"/>
    <col min="15872" max="15873" width="3" style="304" customWidth="1"/>
    <col min="15874" max="15874" width="27.140625" style="304" customWidth="1"/>
    <col min="15875" max="15879" width="10.140625" style="304" customWidth="1"/>
    <col min="15880" max="16127" width="9.140625" style="304"/>
    <col min="16128" max="16129" width="3" style="304" customWidth="1"/>
    <col min="16130" max="16130" width="27.140625" style="304" customWidth="1"/>
    <col min="16131" max="16135" width="10.140625" style="304" customWidth="1"/>
    <col min="16136" max="16383" width="9.140625" style="304"/>
    <col min="16384" max="16384" width="9.140625" style="304" customWidth="1"/>
  </cols>
  <sheetData>
    <row r="1" spans="1:20" x14ac:dyDescent="0.25">
      <c r="A1" s="301"/>
      <c r="B1" s="302" t="s">
        <v>78</v>
      </c>
      <c r="C1" s="301"/>
      <c r="D1" s="303"/>
      <c r="E1" s="303"/>
      <c r="F1" s="303"/>
      <c r="G1" s="303">
        <f>+Assumptions!F11</f>
        <v>0</v>
      </c>
    </row>
    <row r="2" spans="1:20" x14ac:dyDescent="0.25">
      <c r="A2" s="305" t="s">
        <v>0</v>
      </c>
      <c r="B2" s="305"/>
      <c r="C2" s="305"/>
      <c r="D2" s="306" t="s">
        <v>1</v>
      </c>
      <c r="E2" s="306" t="s">
        <v>2</v>
      </c>
      <c r="F2" s="306" t="s">
        <v>3</v>
      </c>
      <c r="G2" s="306" t="s">
        <v>4</v>
      </c>
      <c r="H2" s="304" t="s">
        <v>69</v>
      </c>
    </row>
    <row r="3" spans="1:20" x14ac:dyDescent="0.25">
      <c r="A3" s="301"/>
      <c r="B3" s="301" t="s">
        <v>5</v>
      </c>
      <c r="C3" s="301"/>
      <c r="D3" s="340">
        <f>+Assumptions!F11</f>
        <v>0</v>
      </c>
      <c r="E3" s="303" t="s">
        <v>6</v>
      </c>
      <c r="F3" s="341">
        <f>+Assumptions!F14</f>
        <v>9.5</v>
      </c>
      <c r="G3" s="320">
        <f>D3*F3*H3</f>
        <v>0</v>
      </c>
      <c r="H3" s="342">
        <v>0</v>
      </c>
      <c r="J3" s="304" t="s">
        <v>51</v>
      </c>
      <c r="K3" s="304" t="s">
        <v>52</v>
      </c>
      <c r="L3" s="304" t="s">
        <v>108</v>
      </c>
      <c r="M3" s="304" t="s">
        <v>83</v>
      </c>
      <c r="N3" s="304" t="s">
        <v>49</v>
      </c>
      <c r="O3" s="304" t="s">
        <v>53</v>
      </c>
    </row>
    <row r="4" spans="1:20" x14ac:dyDescent="0.25">
      <c r="A4" s="301"/>
      <c r="B4" s="301" t="s">
        <v>54</v>
      </c>
      <c r="C4" s="301"/>
      <c r="D4" s="343">
        <f>+M4</f>
        <v>82.5</v>
      </c>
      <c r="E4" s="303" t="s">
        <v>71</v>
      </c>
      <c r="F4" s="320">
        <f>+N4</f>
        <v>0.65</v>
      </c>
      <c r="G4" s="320">
        <f>D4*F4</f>
        <v>53.625</v>
      </c>
      <c r="J4" s="313">
        <f>+'Wheat Dual ~800Lb'!J4</f>
        <v>110</v>
      </c>
      <c r="K4" s="304">
        <f>Assumptions!F22</f>
        <v>1.5</v>
      </c>
      <c r="L4" s="304">
        <f>Assumptions!F21</f>
        <v>2</v>
      </c>
      <c r="M4" s="313">
        <f>+J4*K4/L4</f>
        <v>82.5</v>
      </c>
      <c r="N4" s="336">
        <f>+'Wheat Dual ~800Lb'!N4</f>
        <v>0.65</v>
      </c>
      <c r="O4" s="313">
        <f>+N4*M4</f>
        <v>53.625</v>
      </c>
      <c r="Q4" s="304">
        <f>+K4*J4</f>
        <v>165</v>
      </c>
      <c r="S4" s="304">
        <v>50</v>
      </c>
    </row>
    <row r="5" spans="1:20" x14ac:dyDescent="0.25">
      <c r="A5" s="301"/>
      <c r="B5" s="301" t="s">
        <v>55</v>
      </c>
      <c r="C5" s="301"/>
      <c r="D5" s="343">
        <f>+M5</f>
        <v>147.26666666666668</v>
      </c>
      <c r="E5" s="303" t="s">
        <v>71</v>
      </c>
      <c r="F5" s="320">
        <f>+N5</f>
        <v>0.65</v>
      </c>
      <c r="G5" s="320">
        <f>D5*F5</f>
        <v>95.723333333333343</v>
      </c>
      <c r="J5" s="313">
        <f>+'Wheat Dual ~800Lb'!J5</f>
        <v>47</v>
      </c>
      <c r="K5" s="304">
        <f>+'Wheat Dual ~800Lb'!K5</f>
        <v>2.35</v>
      </c>
      <c r="L5" s="304">
        <f>Assumptions!F26</f>
        <v>0.75</v>
      </c>
      <c r="M5" s="313">
        <f>+J5*K5/L5</f>
        <v>147.26666666666668</v>
      </c>
      <c r="N5" s="336">
        <f>N4</f>
        <v>0.65</v>
      </c>
      <c r="O5" s="313">
        <f>+N5*M5</f>
        <v>95.723333333333343</v>
      </c>
      <c r="Q5" s="304">
        <f>+K5*J5</f>
        <v>110.45</v>
      </c>
      <c r="S5" s="304">
        <f>100/L5</f>
        <v>133.33333333333334</v>
      </c>
    </row>
    <row r="6" spans="1:20" ht="15.75" thickBot="1" x14ac:dyDescent="0.3">
      <c r="A6" s="301"/>
      <c r="B6" s="301" t="s">
        <v>7</v>
      </c>
      <c r="C6" s="301"/>
      <c r="D6" s="301">
        <v>1</v>
      </c>
      <c r="E6" s="303" t="s">
        <v>8</v>
      </c>
      <c r="F6" s="320">
        <v>0</v>
      </c>
      <c r="G6" s="327">
        <f>D6*F6</f>
        <v>0</v>
      </c>
      <c r="Q6" s="304">
        <f>+Q5+Q4</f>
        <v>275.45</v>
      </c>
      <c r="T6" s="304">
        <f>83/S4</f>
        <v>1.66</v>
      </c>
    </row>
    <row r="7" spans="1:20" ht="15.75" thickTop="1" x14ac:dyDescent="0.25">
      <c r="A7" s="316" t="s">
        <v>9</v>
      </c>
      <c r="B7" s="316"/>
      <c r="C7" s="316"/>
      <c r="D7" s="316"/>
      <c r="E7" s="316"/>
      <c r="F7" s="316"/>
      <c r="G7" s="317">
        <f>SUM(G3:G6)</f>
        <v>149.34833333333336</v>
      </c>
      <c r="Q7" s="304">
        <f>+Q6/(J5+J4)</f>
        <v>1.7544585987261145</v>
      </c>
      <c r="T7" s="304">
        <f>+T6*100</f>
        <v>166</v>
      </c>
    </row>
    <row r="8" spans="1:20" x14ac:dyDescent="0.25">
      <c r="A8" s="305" t="s">
        <v>10</v>
      </c>
      <c r="B8" s="305"/>
      <c r="C8" s="305"/>
      <c r="D8" s="305" t="s">
        <v>1</v>
      </c>
      <c r="E8" s="305" t="s">
        <v>2</v>
      </c>
      <c r="F8" s="305" t="s">
        <v>3</v>
      </c>
      <c r="G8" s="305" t="s">
        <v>4</v>
      </c>
    </row>
    <row r="9" spans="1:20" x14ac:dyDescent="0.25">
      <c r="A9" s="301" t="s">
        <v>11</v>
      </c>
      <c r="B9" s="301"/>
      <c r="C9" s="301"/>
      <c r="D9" s="301"/>
      <c r="E9" s="301"/>
      <c r="F9" s="301"/>
      <c r="G9" s="301"/>
      <c r="N9" s="304">
        <v>103</v>
      </c>
    </row>
    <row r="10" spans="1:20" x14ac:dyDescent="0.25">
      <c r="A10" s="301"/>
      <c r="B10" s="301" t="s">
        <v>12</v>
      </c>
      <c r="C10" s="301"/>
      <c r="D10" s="300">
        <v>1</v>
      </c>
      <c r="E10" s="339" t="s">
        <v>8</v>
      </c>
      <c r="F10" s="31">
        <f>+'Wheat Dual ~800Lb'!F10</f>
        <v>15</v>
      </c>
      <c r="G10" s="320">
        <f>D10*F10</f>
        <v>15</v>
      </c>
      <c r="N10" s="304">
        <f>50/133</f>
        <v>0.37593984962406013</v>
      </c>
    </row>
    <row r="11" spans="1:20" x14ac:dyDescent="0.25">
      <c r="A11" s="301"/>
      <c r="B11" s="301" t="s">
        <v>13</v>
      </c>
      <c r="C11" s="301"/>
      <c r="D11" s="300">
        <v>1</v>
      </c>
      <c r="E11" s="339" t="s">
        <v>8</v>
      </c>
      <c r="F11" s="31">
        <f>+'Wheat Grain'!F11</f>
        <v>72.2</v>
      </c>
      <c r="G11" s="320">
        <f t="shared" ref="G11:G20" si="0">D11*F11</f>
        <v>72.2</v>
      </c>
      <c r="N11" s="304">
        <f>+N10*N9</f>
        <v>38.721804511278194</v>
      </c>
    </row>
    <row r="12" spans="1:20" x14ac:dyDescent="0.25">
      <c r="A12" s="301"/>
      <c r="B12" s="301" t="s">
        <v>14</v>
      </c>
      <c r="C12" s="301"/>
      <c r="D12" s="300">
        <v>1</v>
      </c>
      <c r="E12" s="339" t="s">
        <v>8</v>
      </c>
      <c r="F12" s="31">
        <f>+'Wheat Dual ~800Lb'!F12</f>
        <v>49.96</v>
      </c>
      <c r="G12" s="320">
        <f t="shared" si="0"/>
        <v>49.96</v>
      </c>
      <c r="S12" s="304">
        <v>100</v>
      </c>
    </row>
    <row r="13" spans="1:20" x14ac:dyDescent="0.25">
      <c r="A13" s="301"/>
      <c r="B13" s="301" t="s">
        <v>15</v>
      </c>
      <c r="C13" s="301"/>
      <c r="D13" s="300">
        <v>1</v>
      </c>
      <c r="E13" s="339" t="s">
        <v>8</v>
      </c>
      <c r="F13" s="31">
        <f>+'Wheat Dual ~800Lb'!F13</f>
        <v>0</v>
      </c>
      <c r="G13" s="320">
        <f t="shared" si="0"/>
        <v>0</v>
      </c>
      <c r="S13" s="304">
        <v>50</v>
      </c>
    </row>
    <row r="14" spans="1:20" x14ac:dyDescent="0.25">
      <c r="A14" s="301"/>
      <c r="B14" s="301" t="s">
        <v>16</v>
      </c>
      <c r="C14" s="301"/>
      <c r="D14" s="300">
        <v>1</v>
      </c>
      <c r="E14" s="339" t="s">
        <v>8</v>
      </c>
      <c r="F14" s="31">
        <v>0</v>
      </c>
      <c r="G14" s="320">
        <f t="shared" si="0"/>
        <v>0</v>
      </c>
    </row>
    <row r="15" spans="1:20" x14ac:dyDescent="0.25">
      <c r="A15" s="301"/>
      <c r="B15" s="301" t="s">
        <v>17</v>
      </c>
      <c r="C15" s="301"/>
      <c r="D15" s="299">
        <v>4.25</v>
      </c>
      <c r="E15" s="339" t="s">
        <v>18</v>
      </c>
      <c r="F15" s="31">
        <f>+'Wheat Dual ~800Lb'!F15</f>
        <v>9.32</v>
      </c>
      <c r="G15" s="320">
        <f>D15*F15</f>
        <v>39.61</v>
      </c>
      <c r="N15" s="304">
        <f>103*0.5</f>
        <v>51.5</v>
      </c>
    </row>
    <row r="16" spans="1:20" x14ac:dyDescent="0.25">
      <c r="A16" s="301"/>
      <c r="B16" s="301" t="s">
        <v>19</v>
      </c>
      <c r="C16" s="301"/>
      <c r="D16" s="332">
        <v>0.1</v>
      </c>
      <c r="E16" s="339" t="s">
        <v>20</v>
      </c>
      <c r="F16" s="31">
        <f>+'Wheat Dual ~800Lb'!F16</f>
        <v>0</v>
      </c>
      <c r="G16" s="320">
        <f t="shared" si="0"/>
        <v>0</v>
      </c>
    </row>
    <row r="17" spans="1:9" x14ac:dyDescent="0.25">
      <c r="A17" s="301"/>
      <c r="B17" s="301" t="s">
        <v>50</v>
      </c>
      <c r="C17" s="301"/>
      <c r="D17" s="300">
        <v>1</v>
      </c>
      <c r="E17" s="339" t="s">
        <v>8</v>
      </c>
      <c r="F17" s="31">
        <f>+'Wheat Dual ~800Lb'!F17</f>
        <v>16.23</v>
      </c>
      <c r="G17" s="320">
        <f t="shared" si="0"/>
        <v>16.23</v>
      </c>
    </row>
    <row r="18" spans="1:9" x14ac:dyDescent="0.25">
      <c r="A18" s="301"/>
      <c r="B18" s="301" t="s">
        <v>22</v>
      </c>
      <c r="C18" s="301"/>
      <c r="D18" s="299">
        <v>1</v>
      </c>
      <c r="E18" s="339" t="s">
        <v>23</v>
      </c>
      <c r="F18" s="31">
        <f>+'Wheat Dual ~800Lb'!F18</f>
        <v>9.8000000000000007</v>
      </c>
      <c r="G18" s="320">
        <f t="shared" si="0"/>
        <v>9.8000000000000007</v>
      </c>
    </row>
    <row r="19" spans="1:9" x14ac:dyDescent="0.25">
      <c r="A19" s="301"/>
      <c r="B19" s="301" t="s">
        <v>24</v>
      </c>
      <c r="C19" s="301"/>
      <c r="D19" s="300">
        <v>1</v>
      </c>
      <c r="E19" s="339" t="s">
        <v>8</v>
      </c>
      <c r="F19" s="31">
        <f>+'Wheat Dual ~800Lb'!F19</f>
        <v>0</v>
      </c>
      <c r="G19" s="320">
        <f t="shared" si="0"/>
        <v>0</v>
      </c>
    </row>
    <row r="20" spans="1:9" x14ac:dyDescent="0.25">
      <c r="A20" s="301"/>
      <c r="B20" s="301" t="s">
        <v>25</v>
      </c>
      <c r="C20" s="301"/>
      <c r="D20" s="300">
        <v>1</v>
      </c>
      <c r="E20" s="339" t="s">
        <v>8</v>
      </c>
      <c r="F20" s="31">
        <f>+'Wheat Dual ~800Lb'!F20</f>
        <v>4.5</v>
      </c>
      <c r="G20" s="320">
        <f t="shared" si="0"/>
        <v>4.5</v>
      </c>
    </row>
    <row r="21" spans="1:9" ht="15.75" thickBot="1" x14ac:dyDescent="0.3">
      <c r="A21" s="301"/>
      <c r="B21" s="301" t="s">
        <v>26</v>
      </c>
      <c r="C21" s="301"/>
      <c r="D21" s="301"/>
      <c r="E21" s="301"/>
      <c r="F21" s="321">
        <f>+Assumptions!F35</f>
        <v>7.4999999999999997E-2</v>
      </c>
      <c r="G21" s="322">
        <f>+SUM(G10:G20)*F21/12*6</f>
        <v>7.7737499999999988</v>
      </c>
      <c r="I21" s="323"/>
    </row>
    <row r="22" spans="1:9" x14ac:dyDescent="0.25">
      <c r="A22" s="301"/>
      <c r="B22" s="301"/>
      <c r="C22" s="301"/>
      <c r="D22" s="301"/>
      <c r="E22" s="301"/>
      <c r="F22" s="301"/>
      <c r="G22" s="320">
        <f>SUM(G10:G21)</f>
        <v>215.07374999999999</v>
      </c>
    </row>
    <row r="23" spans="1:9" x14ac:dyDescent="0.25">
      <c r="A23" s="301" t="s">
        <v>27</v>
      </c>
      <c r="B23" s="301"/>
      <c r="C23" s="301"/>
      <c r="D23" s="301"/>
      <c r="E23" s="301"/>
      <c r="F23" s="301"/>
      <c r="G23" s="301"/>
    </row>
    <row r="24" spans="1:9" x14ac:dyDescent="0.25">
      <c r="A24" s="301"/>
      <c r="B24" s="301" t="s">
        <v>28</v>
      </c>
      <c r="C24" s="301"/>
      <c r="D24" s="301">
        <v>1</v>
      </c>
      <c r="E24" s="301" t="s">
        <v>8</v>
      </c>
      <c r="F24" s="31">
        <v>0</v>
      </c>
      <c r="G24" s="320">
        <f>+D24*F24</f>
        <v>0</v>
      </c>
    </row>
    <row r="25" spans="1:9" x14ac:dyDescent="0.25">
      <c r="A25" s="301"/>
      <c r="B25" s="301" t="s">
        <v>29</v>
      </c>
      <c r="C25" s="301"/>
      <c r="D25" s="301"/>
      <c r="E25" s="301"/>
      <c r="F25" s="324"/>
      <c r="G25" s="301"/>
    </row>
    <row r="26" spans="1:9" ht="15.75" thickBot="1" x14ac:dyDescent="0.3">
      <c r="A26" s="301"/>
      <c r="B26" s="301"/>
      <c r="C26" s="301" t="s">
        <v>30</v>
      </c>
      <c r="D26" s="301">
        <v>1</v>
      </c>
      <c r="E26" s="301" t="s">
        <v>8</v>
      </c>
      <c r="F26" s="31">
        <v>0</v>
      </c>
      <c r="G26" s="322">
        <f>+D26*F26</f>
        <v>0</v>
      </c>
    </row>
    <row r="27" spans="1:9" ht="15.75" thickBot="1" x14ac:dyDescent="0.3">
      <c r="A27" s="301"/>
      <c r="B27" s="301"/>
      <c r="C27" s="301"/>
      <c r="D27" s="301" t="s">
        <v>31</v>
      </c>
      <c r="E27" s="301"/>
      <c r="F27" s="324"/>
      <c r="G27" s="325">
        <f>+G24+G26</f>
        <v>0</v>
      </c>
    </row>
    <row r="28" spans="1:9" ht="15.75" thickTop="1" x14ac:dyDescent="0.25">
      <c r="A28" s="301"/>
      <c r="B28" s="301"/>
      <c r="C28" s="301"/>
      <c r="D28" s="301"/>
      <c r="E28" s="301"/>
      <c r="F28" s="324"/>
      <c r="G28" s="301"/>
    </row>
    <row r="29" spans="1:9" ht="15.75" thickBot="1" x14ac:dyDescent="0.3">
      <c r="A29" s="301" t="s">
        <v>32</v>
      </c>
      <c r="B29" s="301"/>
      <c r="C29" s="301"/>
      <c r="D29" s="301">
        <v>1</v>
      </c>
      <c r="E29" s="301" t="s">
        <v>8</v>
      </c>
      <c r="F29" s="31">
        <v>0</v>
      </c>
      <c r="G29" s="326">
        <f>+D29*F29</f>
        <v>0</v>
      </c>
    </row>
    <row r="30" spans="1:9" ht="15.75" thickTop="1" x14ac:dyDescent="0.25">
      <c r="A30" s="301"/>
      <c r="B30" s="301"/>
      <c r="C30" s="301"/>
      <c r="D30" s="301"/>
      <c r="E30" s="301"/>
      <c r="F30" s="301"/>
      <c r="G30" s="301"/>
    </row>
    <row r="31" spans="1:9" ht="15.75" thickBot="1" x14ac:dyDescent="0.3">
      <c r="A31" s="301" t="s">
        <v>33</v>
      </c>
      <c r="B31" s="301"/>
      <c r="C31" s="301"/>
      <c r="D31" s="301"/>
      <c r="E31" s="301"/>
      <c r="F31" s="301"/>
      <c r="G31" s="327">
        <f>+G22+G27+G29</f>
        <v>215.07374999999999</v>
      </c>
    </row>
    <row r="32" spans="1:9" ht="15.75" thickTop="1" x14ac:dyDescent="0.25">
      <c r="A32" s="301"/>
      <c r="B32" s="301"/>
      <c r="C32" s="301"/>
      <c r="D32" s="301"/>
      <c r="E32" s="301"/>
      <c r="F32" s="301"/>
      <c r="G32" s="301"/>
    </row>
    <row r="33" spans="1:7" x14ac:dyDescent="0.25">
      <c r="A33" s="301" t="s">
        <v>34</v>
      </c>
      <c r="B33" s="301"/>
      <c r="C33" s="301"/>
      <c r="D33" s="301"/>
      <c r="E33" s="301"/>
      <c r="F33" s="301"/>
      <c r="G33" s="320">
        <f>+G7-G31</f>
        <v>-65.725416666666632</v>
      </c>
    </row>
    <row r="34" spans="1:7" x14ac:dyDescent="0.25">
      <c r="A34" s="301"/>
      <c r="B34" s="301" t="s">
        <v>35</v>
      </c>
      <c r="C34" s="301"/>
      <c r="D34" s="301"/>
      <c r="E34" s="301" t="s">
        <v>6</v>
      </c>
      <c r="F34" s="328" t="str">
        <f>IF(D3=0,"n/a",(G31-G4-G5-G6)/D3)</f>
        <v>n/a</v>
      </c>
      <c r="G34" s="301"/>
    </row>
    <row r="35" spans="1:7" x14ac:dyDescent="0.25">
      <c r="A35" s="301"/>
      <c r="B35" s="301"/>
      <c r="C35" s="301"/>
      <c r="D35" s="301"/>
      <c r="E35" s="301"/>
      <c r="F35" s="301"/>
      <c r="G35" s="301"/>
    </row>
    <row r="36" spans="1:7" x14ac:dyDescent="0.25">
      <c r="A36" s="305" t="s">
        <v>36</v>
      </c>
      <c r="B36" s="305"/>
      <c r="C36" s="305"/>
      <c r="D36" s="305" t="s">
        <v>1</v>
      </c>
      <c r="E36" s="305" t="s">
        <v>2</v>
      </c>
      <c r="F36" s="305" t="s">
        <v>3</v>
      </c>
      <c r="G36" s="305" t="s">
        <v>4</v>
      </c>
    </row>
    <row r="37" spans="1:7" x14ac:dyDescent="0.25">
      <c r="A37" s="301"/>
      <c r="B37" s="301" t="s">
        <v>37</v>
      </c>
      <c r="C37" s="301"/>
      <c r="D37" s="300">
        <v>1</v>
      </c>
      <c r="E37" s="300" t="s">
        <v>8</v>
      </c>
      <c r="F37" s="31">
        <f>5.59+5.61</f>
        <v>11.2</v>
      </c>
      <c r="G37" s="320">
        <f>D37*F37</f>
        <v>11.2</v>
      </c>
    </row>
    <row r="38" spans="1:7" x14ac:dyDescent="0.25">
      <c r="A38" s="301"/>
      <c r="B38" s="301" t="s">
        <v>38</v>
      </c>
      <c r="C38" s="301"/>
      <c r="D38" s="300">
        <v>1</v>
      </c>
      <c r="E38" s="300" t="s">
        <v>8</v>
      </c>
      <c r="F38" s="31">
        <f>2.42+1.32</f>
        <v>3.74</v>
      </c>
      <c r="G38" s="320">
        <f t="shared" ref="G38:G45" si="1">D38*F38</f>
        <v>3.74</v>
      </c>
    </row>
    <row r="39" spans="1:7" x14ac:dyDescent="0.25">
      <c r="A39" s="301"/>
      <c r="B39" s="301" t="s">
        <v>39</v>
      </c>
      <c r="C39" s="301"/>
      <c r="D39" s="300">
        <v>1</v>
      </c>
      <c r="E39" s="300" t="s">
        <v>8</v>
      </c>
      <c r="F39" s="31">
        <v>0</v>
      </c>
      <c r="G39" s="320">
        <f t="shared" si="1"/>
        <v>0</v>
      </c>
    </row>
    <row r="40" spans="1:7" x14ac:dyDescent="0.25">
      <c r="A40" s="301"/>
      <c r="B40" s="301" t="s">
        <v>40</v>
      </c>
      <c r="C40" s="301"/>
      <c r="D40" s="300">
        <v>1</v>
      </c>
      <c r="E40" s="300" t="s">
        <v>8</v>
      </c>
      <c r="F40" s="31">
        <v>30</v>
      </c>
      <c r="G40" s="320">
        <f t="shared" si="1"/>
        <v>30</v>
      </c>
    </row>
    <row r="41" spans="1:7" x14ac:dyDescent="0.25">
      <c r="A41" s="301"/>
      <c r="B41" s="301" t="s">
        <v>41</v>
      </c>
      <c r="C41" s="301"/>
      <c r="D41" s="300">
        <v>1</v>
      </c>
      <c r="E41" s="300" t="s">
        <v>8</v>
      </c>
      <c r="F41" s="31">
        <v>0</v>
      </c>
      <c r="G41" s="320">
        <f t="shared" si="1"/>
        <v>0</v>
      </c>
    </row>
    <row r="42" spans="1:7" x14ac:dyDescent="0.25">
      <c r="A42" s="301"/>
      <c r="B42" s="301" t="s">
        <v>111</v>
      </c>
      <c r="C42" s="301"/>
      <c r="D42" s="300">
        <v>1</v>
      </c>
      <c r="E42" s="300" t="s">
        <v>8</v>
      </c>
      <c r="F42" s="31">
        <v>0</v>
      </c>
      <c r="G42" s="320">
        <f t="shared" si="1"/>
        <v>0</v>
      </c>
    </row>
    <row r="43" spans="1:7" x14ac:dyDescent="0.25">
      <c r="A43" s="301"/>
      <c r="B43" s="300" t="s">
        <v>43</v>
      </c>
      <c r="C43" s="300"/>
      <c r="D43" s="300">
        <v>1</v>
      </c>
      <c r="E43" s="300" t="s">
        <v>8</v>
      </c>
      <c r="F43" s="31">
        <v>0</v>
      </c>
      <c r="G43" s="320">
        <f t="shared" si="1"/>
        <v>0</v>
      </c>
    </row>
    <row r="44" spans="1:7" x14ac:dyDescent="0.25">
      <c r="A44" s="301"/>
      <c r="B44" s="300" t="s">
        <v>43</v>
      </c>
      <c r="C44" s="300"/>
      <c r="D44" s="300">
        <v>1</v>
      </c>
      <c r="E44" s="300" t="s">
        <v>8</v>
      </c>
      <c r="F44" s="31">
        <v>0</v>
      </c>
      <c r="G44" s="320">
        <f t="shared" si="1"/>
        <v>0</v>
      </c>
    </row>
    <row r="45" spans="1:7" ht="15.75" thickBot="1" x14ac:dyDescent="0.3">
      <c r="A45" s="301"/>
      <c r="B45" s="300" t="s">
        <v>43</v>
      </c>
      <c r="C45" s="300"/>
      <c r="D45" s="300">
        <v>1</v>
      </c>
      <c r="E45" s="300" t="s">
        <v>8</v>
      </c>
      <c r="F45" s="31">
        <v>0</v>
      </c>
      <c r="G45" s="327">
        <f t="shared" si="1"/>
        <v>0</v>
      </c>
    </row>
    <row r="46" spans="1:7" ht="15.75" thickTop="1" x14ac:dyDescent="0.25">
      <c r="A46" s="301"/>
      <c r="B46" s="301"/>
      <c r="C46" s="301"/>
      <c r="D46" s="301"/>
      <c r="E46" s="301"/>
      <c r="F46" s="301"/>
      <c r="G46" s="301"/>
    </row>
    <row r="47" spans="1:7" ht="15.75" thickBot="1" x14ac:dyDescent="0.3">
      <c r="A47" s="301" t="s">
        <v>44</v>
      </c>
      <c r="B47" s="301"/>
      <c r="C47" s="301"/>
      <c r="D47" s="301"/>
      <c r="E47" s="301"/>
      <c r="F47" s="301"/>
      <c r="G47" s="327">
        <f>SUM(G37:G45)</f>
        <v>44.94</v>
      </c>
    </row>
    <row r="48" spans="1:7" ht="15.75" thickTop="1" x14ac:dyDescent="0.25">
      <c r="A48" s="301"/>
      <c r="B48" s="301"/>
      <c r="C48" s="301"/>
      <c r="D48" s="301"/>
      <c r="E48" s="301"/>
      <c r="F48" s="301"/>
      <c r="G48" s="301"/>
    </row>
    <row r="49" spans="1:7" ht="15.75" thickBot="1" x14ac:dyDescent="0.3">
      <c r="A49" s="301" t="s">
        <v>45</v>
      </c>
      <c r="B49" s="301"/>
      <c r="C49" s="301"/>
      <c r="D49" s="301"/>
      <c r="E49" s="301"/>
      <c r="F49" s="301"/>
      <c r="G49" s="327">
        <f>+G31+G47</f>
        <v>260.01374999999996</v>
      </c>
    </row>
    <row r="50" spans="1:7" ht="15.75" thickTop="1" x14ac:dyDescent="0.25">
      <c r="A50" s="301"/>
      <c r="B50" s="301"/>
      <c r="C50" s="301"/>
      <c r="D50" s="301"/>
      <c r="E50" s="301"/>
      <c r="F50" s="301"/>
      <c r="G50" s="301"/>
    </row>
    <row r="51" spans="1:7" x14ac:dyDescent="0.25">
      <c r="A51" s="301" t="s">
        <v>46</v>
      </c>
      <c r="B51" s="301"/>
      <c r="C51" s="301"/>
      <c r="D51" s="301"/>
      <c r="E51" s="301"/>
      <c r="F51" s="301"/>
      <c r="G51" s="320">
        <f>+G7-G49</f>
        <v>-110.6654166666666</v>
      </c>
    </row>
    <row r="52" spans="1:7" ht="15.75" thickBot="1" x14ac:dyDescent="0.3">
      <c r="A52" s="330" t="s">
        <v>47</v>
      </c>
      <c r="B52" s="330"/>
      <c r="C52" s="330"/>
      <c r="D52" s="330"/>
      <c r="E52" s="330" t="s">
        <v>6</v>
      </c>
      <c r="F52" s="331" t="str">
        <f>IF(D3=0,"n/a",(G49-G4-G5-G6)/D3)</f>
        <v>n/a</v>
      </c>
      <c r="G52" s="330"/>
    </row>
    <row r="53" spans="1:7" ht="15.75" thickTop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5E003-2B2F-4FF0-82E7-F0F4C31A8128}">
  <dimension ref="B2:J12"/>
  <sheetViews>
    <sheetView workbookViewId="0">
      <selection activeCell="J8" sqref="J8"/>
    </sheetView>
  </sheetViews>
  <sheetFormatPr defaultRowHeight="15" x14ac:dyDescent="0.25"/>
  <sheetData>
    <row r="2" spans="2:10" x14ac:dyDescent="0.25">
      <c r="G2" t="s">
        <v>130</v>
      </c>
    </row>
    <row r="3" spans="2:10" x14ac:dyDescent="0.25">
      <c r="B3" t="s">
        <v>125</v>
      </c>
      <c r="C3">
        <v>4.5</v>
      </c>
      <c r="D3">
        <v>5.5</v>
      </c>
      <c r="G3" s="113">
        <v>4.8</v>
      </c>
    </row>
    <row r="4" spans="2:10" x14ac:dyDescent="0.25">
      <c r="B4" t="s">
        <v>126</v>
      </c>
      <c r="C4">
        <v>5.16</v>
      </c>
      <c r="D4">
        <v>5.5</v>
      </c>
      <c r="G4">
        <v>4.78</v>
      </c>
    </row>
    <row r="5" spans="2:10" x14ac:dyDescent="0.25">
      <c r="B5" t="s">
        <v>127</v>
      </c>
      <c r="C5">
        <v>4.72</v>
      </c>
      <c r="D5">
        <v>5.5</v>
      </c>
      <c r="G5">
        <v>5.39</v>
      </c>
    </row>
    <row r="6" spans="2:10" x14ac:dyDescent="0.25">
      <c r="B6" t="s">
        <v>128</v>
      </c>
      <c r="C6">
        <v>3.89</v>
      </c>
      <c r="D6">
        <v>5.5</v>
      </c>
      <c r="G6">
        <v>4.05</v>
      </c>
    </row>
    <row r="7" spans="2:10" x14ac:dyDescent="0.25">
      <c r="B7" t="s">
        <v>129</v>
      </c>
      <c r="C7">
        <v>4.8899999999999997</v>
      </c>
      <c r="D7">
        <v>5.5</v>
      </c>
      <c r="G7">
        <v>4.45</v>
      </c>
    </row>
    <row r="9" spans="2:10" x14ac:dyDescent="0.25">
      <c r="G9" s="113">
        <f>+AVERAGE(G3:G7)</f>
        <v>4.694</v>
      </c>
      <c r="H9">
        <v>5.5</v>
      </c>
    </row>
    <row r="10" spans="2:10" x14ac:dyDescent="0.25">
      <c r="H10" s="113">
        <f>+H9-G9</f>
        <v>0.80600000000000005</v>
      </c>
    </row>
    <row r="11" spans="2:10" x14ac:dyDescent="0.25">
      <c r="H11">
        <f>+H10*0.85</f>
        <v>0.68510000000000004</v>
      </c>
      <c r="J11" s="113">
        <f>+H11+G9</f>
        <v>5.3791000000000002</v>
      </c>
    </row>
    <row r="12" spans="2:10" x14ac:dyDescent="0.25">
      <c r="H12">
        <f>+H11*30</f>
        <v>20.553000000000001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168E7-8C40-4E08-B413-4413CC0D399A}">
  <dimension ref="A1:Q53"/>
  <sheetViews>
    <sheetView workbookViewId="0">
      <selection activeCell="R8" sqref="R8"/>
    </sheetView>
  </sheetViews>
  <sheetFormatPr defaultRowHeight="15" x14ac:dyDescent="0.25"/>
  <cols>
    <col min="1" max="2" width="3" style="304" customWidth="1"/>
    <col min="3" max="3" width="27.140625" style="304" customWidth="1"/>
    <col min="4" max="7" width="10.140625" style="304" customWidth="1"/>
    <col min="8" max="8" width="8.85546875" style="304"/>
    <col min="9" max="10" width="0" style="304" hidden="1" customWidth="1"/>
    <col min="11" max="11" width="10.140625" style="304" hidden="1" customWidth="1"/>
    <col min="12" max="12" width="10" style="304" hidden="1" customWidth="1"/>
    <col min="13" max="17" width="0" style="304" hidden="1" customWidth="1"/>
    <col min="18" max="255" width="8.85546875" style="304"/>
    <col min="256" max="257" width="3" style="304" customWidth="1"/>
    <col min="258" max="258" width="27.140625" style="304" customWidth="1"/>
    <col min="259" max="263" width="10.140625" style="304" customWidth="1"/>
    <col min="264" max="511" width="8.85546875" style="304"/>
    <col min="512" max="513" width="3" style="304" customWidth="1"/>
    <col min="514" max="514" width="27.140625" style="304" customWidth="1"/>
    <col min="515" max="519" width="10.140625" style="304" customWidth="1"/>
    <col min="520" max="767" width="8.85546875" style="304"/>
    <col min="768" max="769" width="3" style="304" customWidth="1"/>
    <col min="770" max="770" width="27.140625" style="304" customWidth="1"/>
    <col min="771" max="775" width="10.140625" style="304" customWidth="1"/>
    <col min="776" max="1023" width="8.85546875" style="304"/>
    <col min="1024" max="1025" width="3" style="304" customWidth="1"/>
    <col min="1026" max="1026" width="27.140625" style="304" customWidth="1"/>
    <col min="1027" max="1031" width="10.140625" style="304" customWidth="1"/>
    <col min="1032" max="1279" width="8.85546875" style="304"/>
    <col min="1280" max="1281" width="3" style="304" customWidth="1"/>
    <col min="1282" max="1282" width="27.140625" style="304" customWidth="1"/>
    <col min="1283" max="1287" width="10.140625" style="304" customWidth="1"/>
    <col min="1288" max="1535" width="8.85546875" style="304"/>
    <col min="1536" max="1537" width="3" style="304" customWidth="1"/>
    <col min="1538" max="1538" width="27.140625" style="304" customWidth="1"/>
    <col min="1539" max="1543" width="10.140625" style="304" customWidth="1"/>
    <col min="1544" max="1791" width="8.85546875" style="304"/>
    <col min="1792" max="1793" width="3" style="304" customWidth="1"/>
    <col min="1794" max="1794" width="27.140625" style="304" customWidth="1"/>
    <col min="1795" max="1799" width="10.140625" style="304" customWidth="1"/>
    <col min="1800" max="2047" width="8.85546875" style="304"/>
    <col min="2048" max="2049" width="3" style="304" customWidth="1"/>
    <col min="2050" max="2050" width="27.140625" style="304" customWidth="1"/>
    <col min="2051" max="2055" width="10.140625" style="304" customWidth="1"/>
    <col min="2056" max="2303" width="8.85546875" style="304"/>
    <col min="2304" max="2305" width="3" style="304" customWidth="1"/>
    <col min="2306" max="2306" width="27.140625" style="304" customWidth="1"/>
    <col min="2307" max="2311" width="10.140625" style="304" customWidth="1"/>
    <col min="2312" max="2559" width="8.85546875" style="304"/>
    <col min="2560" max="2561" width="3" style="304" customWidth="1"/>
    <col min="2562" max="2562" width="27.140625" style="304" customWidth="1"/>
    <col min="2563" max="2567" width="10.140625" style="304" customWidth="1"/>
    <col min="2568" max="2815" width="8.85546875" style="304"/>
    <col min="2816" max="2817" width="3" style="304" customWidth="1"/>
    <col min="2818" max="2818" width="27.140625" style="304" customWidth="1"/>
    <col min="2819" max="2823" width="10.140625" style="304" customWidth="1"/>
    <col min="2824" max="3071" width="8.85546875" style="304"/>
    <col min="3072" max="3073" width="3" style="304" customWidth="1"/>
    <col min="3074" max="3074" width="27.140625" style="304" customWidth="1"/>
    <col min="3075" max="3079" width="10.140625" style="304" customWidth="1"/>
    <col min="3080" max="3327" width="8.85546875" style="304"/>
    <col min="3328" max="3329" width="3" style="304" customWidth="1"/>
    <col min="3330" max="3330" width="27.140625" style="304" customWidth="1"/>
    <col min="3331" max="3335" width="10.140625" style="304" customWidth="1"/>
    <col min="3336" max="3583" width="8.85546875" style="304"/>
    <col min="3584" max="3585" width="3" style="304" customWidth="1"/>
    <col min="3586" max="3586" width="27.140625" style="304" customWidth="1"/>
    <col min="3587" max="3591" width="10.140625" style="304" customWidth="1"/>
    <col min="3592" max="3839" width="8.85546875" style="304"/>
    <col min="3840" max="3841" width="3" style="304" customWidth="1"/>
    <col min="3842" max="3842" width="27.140625" style="304" customWidth="1"/>
    <col min="3843" max="3847" width="10.140625" style="304" customWidth="1"/>
    <col min="3848" max="4095" width="8.85546875" style="304"/>
    <col min="4096" max="4097" width="3" style="304" customWidth="1"/>
    <col min="4098" max="4098" width="27.140625" style="304" customWidth="1"/>
    <col min="4099" max="4103" width="10.140625" style="304" customWidth="1"/>
    <col min="4104" max="4351" width="8.85546875" style="304"/>
    <col min="4352" max="4353" width="3" style="304" customWidth="1"/>
    <col min="4354" max="4354" width="27.140625" style="304" customWidth="1"/>
    <col min="4355" max="4359" width="10.140625" style="304" customWidth="1"/>
    <col min="4360" max="4607" width="8.85546875" style="304"/>
    <col min="4608" max="4609" width="3" style="304" customWidth="1"/>
    <col min="4610" max="4610" width="27.140625" style="304" customWidth="1"/>
    <col min="4611" max="4615" width="10.140625" style="304" customWidth="1"/>
    <col min="4616" max="4863" width="8.85546875" style="304"/>
    <col min="4864" max="4865" width="3" style="304" customWidth="1"/>
    <col min="4866" max="4866" width="27.140625" style="304" customWidth="1"/>
    <col min="4867" max="4871" width="10.140625" style="304" customWidth="1"/>
    <col min="4872" max="5119" width="8.85546875" style="304"/>
    <col min="5120" max="5121" width="3" style="304" customWidth="1"/>
    <col min="5122" max="5122" width="27.140625" style="304" customWidth="1"/>
    <col min="5123" max="5127" width="10.140625" style="304" customWidth="1"/>
    <col min="5128" max="5375" width="8.85546875" style="304"/>
    <col min="5376" max="5377" width="3" style="304" customWidth="1"/>
    <col min="5378" max="5378" width="27.140625" style="304" customWidth="1"/>
    <col min="5379" max="5383" width="10.140625" style="304" customWidth="1"/>
    <col min="5384" max="5631" width="8.85546875" style="304"/>
    <col min="5632" max="5633" width="3" style="304" customWidth="1"/>
    <col min="5634" max="5634" width="27.140625" style="304" customWidth="1"/>
    <col min="5635" max="5639" width="10.140625" style="304" customWidth="1"/>
    <col min="5640" max="5887" width="8.85546875" style="304"/>
    <col min="5888" max="5889" width="3" style="304" customWidth="1"/>
    <col min="5890" max="5890" width="27.140625" style="304" customWidth="1"/>
    <col min="5891" max="5895" width="10.140625" style="304" customWidth="1"/>
    <col min="5896" max="6143" width="8.85546875" style="304"/>
    <col min="6144" max="6145" width="3" style="304" customWidth="1"/>
    <col min="6146" max="6146" width="27.140625" style="304" customWidth="1"/>
    <col min="6147" max="6151" width="10.140625" style="304" customWidth="1"/>
    <col min="6152" max="6399" width="8.85546875" style="304"/>
    <col min="6400" max="6401" width="3" style="304" customWidth="1"/>
    <col min="6402" max="6402" width="27.140625" style="304" customWidth="1"/>
    <col min="6403" max="6407" width="10.140625" style="304" customWidth="1"/>
    <col min="6408" max="6655" width="8.85546875" style="304"/>
    <col min="6656" max="6657" width="3" style="304" customWidth="1"/>
    <col min="6658" max="6658" width="27.140625" style="304" customWidth="1"/>
    <col min="6659" max="6663" width="10.140625" style="304" customWidth="1"/>
    <col min="6664" max="6911" width="8.85546875" style="304"/>
    <col min="6912" max="6913" width="3" style="304" customWidth="1"/>
    <col min="6914" max="6914" width="27.140625" style="304" customWidth="1"/>
    <col min="6915" max="6919" width="10.140625" style="304" customWidth="1"/>
    <col min="6920" max="7167" width="8.85546875" style="304"/>
    <col min="7168" max="7169" width="3" style="304" customWidth="1"/>
    <col min="7170" max="7170" width="27.140625" style="304" customWidth="1"/>
    <col min="7171" max="7175" width="10.140625" style="304" customWidth="1"/>
    <col min="7176" max="7423" width="8.85546875" style="304"/>
    <col min="7424" max="7425" width="3" style="304" customWidth="1"/>
    <col min="7426" max="7426" width="27.140625" style="304" customWidth="1"/>
    <col min="7427" max="7431" width="10.140625" style="304" customWidth="1"/>
    <col min="7432" max="7679" width="8.85546875" style="304"/>
    <col min="7680" max="7681" width="3" style="304" customWidth="1"/>
    <col min="7682" max="7682" width="27.140625" style="304" customWidth="1"/>
    <col min="7683" max="7687" width="10.140625" style="304" customWidth="1"/>
    <col min="7688" max="7935" width="8.85546875" style="304"/>
    <col min="7936" max="7937" width="3" style="304" customWidth="1"/>
    <col min="7938" max="7938" width="27.140625" style="304" customWidth="1"/>
    <col min="7939" max="7943" width="10.140625" style="304" customWidth="1"/>
    <col min="7944" max="8191" width="8.85546875" style="304"/>
    <col min="8192" max="8193" width="3" style="304" customWidth="1"/>
    <col min="8194" max="8194" width="27.140625" style="304" customWidth="1"/>
    <col min="8195" max="8199" width="10.140625" style="304" customWidth="1"/>
    <col min="8200" max="8447" width="8.85546875" style="304"/>
    <col min="8448" max="8449" width="3" style="304" customWidth="1"/>
    <col min="8450" max="8450" width="27.140625" style="304" customWidth="1"/>
    <col min="8451" max="8455" width="10.140625" style="304" customWidth="1"/>
    <col min="8456" max="8703" width="8.85546875" style="304"/>
    <col min="8704" max="8705" width="3" style="304" customWidth="1"/>
    <col min="8706" max="8706" width="27.140625" style="304" customWidth="1"/>
    <col min="8707" max="8711" width="10.140625" style="304" customWidth="1"/>
    <col min="8712" max="8959" width="8.85546875" style="304"/>
    <col min="8960" max="8961" width="3" style="304" customWidth="1"/>
    <col min="8962" max="8962" width="27.140625" style="304" customWidth="1"/>
    <col min="8963" max="8967" width="10.140625" style="304" customWidth="1"/>
    <col min="8968" max="9215" width="8.85546875" style="304"/>
    <col min="9216" max="9217" width="3" style="304" customWidth="1"/>
    <col min="9218" max="9218" width="27.140625" style="304" customWidth="1"/>
    <col min="9219" max="9223" width="10.140625" style="304" customWidth="1"/>
    <col min="9224" max="9471" width="8.85546875" style="304"/>
    <col min="9472" max="9473" width="3" style="304" customWidth="1"/>
    <col min="9474" max="9474" width="27.140625" style="304" customWidth="1"/>
    <col min="9475" max="9479" width="10.140625" style="304" customWidth="1"/>
    <col min="9480" max="9727" width="8.85546875" style="304"/>
    <col min="9728" max="9729" width="3" style="304" customWidth="1"/>
    <col min="9730" max="9730" width="27.140625" style="304" customWidth="1"/>
    <col min="9731" max="9735" width="10.140625" style="304" customWidth="1"/>
    <col min="9736" max="9983" width="8.85546875" style="304"/>
    <col min="9984" max="9985" width="3" style="304" customWidth="1"/>
    <col min="9986" max="9986" width="27.140625" style="304" customWidth="1"/>
    <col min="9987" max="9991" width="10.140625" style="304" customWidth="1"/>
    <col min="9992" max="10239" width="8.85546875" style="304"/>
    <col min="10240" max="10241" width="3" style="304" customWidth="1"/>
    <col min="10242" max="10242" width="27.140625" style="304" customWidth="1"/>
    <col min="10243" max="10247" width="10.140625" style="304" customWidth="1"/>
    <col min="10248" max="10495" width="8.85546875" style="304"/>
    <col min="10496" max="10497" width="3" style="304" customWidth="1"/>
    <col min="10498" max="10498" width="27.140625" style="304" customWidth="1"/>
    <col min="10499" max="10503" width="10.140625" style="304" customWidth="1"/>
    <col min="10504" max="10751" width="8.85546875" style="304"/>
    <col min="10752" max="10753" width="3" style="304" customWidth="1"/>
    <col min="10754" max="10754" width="27.140625" style="304" customWidth="1"/>
    <col min="10755" max="10759" width="10.140625" style="304" customWidth="1"/>
    <col min="10760" max="11007" width="8.85546875" style="304"/>
    <col min="11008" max="11009" width="3" style="304" customWidth="1"/>
    <col min="11010" max="11010" width="27.140625" style="304" customWidth="1"/>
    <col min="11011" max="11015" width="10.140625" style="304" customWidth="1"/>
    <col min="11016" max="11263" width="8.85546875" style="304"/>
    <col min="11264" max="11265" width="3" style="304" customWidth="1"/>
    <col min="11266" max="11266" width="27.140625" style="304" customWidth="1"/>
    <col min="11267" max="11271" width="10.140625" style="304" customWidth="1"/>
    <col min="11272" max="11519" width="8.85546875" style="304"/>
    <col min="11520" max="11521" width="3" style="304" customWidth="1"/>
    <col min="11522" max="11522" width="27.140625" style="304" customWidth="1"/>
    <col min="11523" max="11527" width="10.140625" style="304" customWidth="1"/>
    <col min="11528" max="11775" width="8.85546875" style="304"/>
    <col min="11776" max="11777" width="3" style="304" customWidth="1"/>
    <col min="11778" max="11778" width="27.140625" style="304" customWidth="1"/>
    <col min="11779" max="11783" width="10.140625" style="304" customWidth="1"/>
    <col min="11784" max="12031" width="8.85546875" style="304"/>
    <col min="12032" max="12033" width="3" style="304" customWidth="1"/>
    <col min="12034" max="12034" width="27.140625" style="304" customWidth="1"/>
    <col min="12035" max="12039" width="10.140625" style="304" customWidth="1"/>
    <col min="12040" max="12287" width="8.85546875" style="304"/>
    <col min="12288" max="12289" width="3" style="304" customWidth="1"/>
    <col min="12290" max="12290" width="27.140625" style="304" customWidth="1"/>
    <col min="12291" max="12295" width="10.140625" style="304" customWidth="1"/>
    <col min="12296" max="12543" width="8.85546875" style="304"/>
    <col min="12544" max="12545" width="3" style="304" customWidth="1"/>
    <col min="12546" max="12546" width="27.140625" style="304" customWidth="1"/>
    <col min="12547" max="12551" width="10.140625" style="304" customWidth="1"/>
    <col min="12552" max="12799" width="8.85546875" style="304"/>
    <col min="12800" max="12801" width="3" style="304" customWidth="1"/>
    <col min="12802" max="12802" width="27.140625" style="304" customWidth="1"/>
    <col min="12803" max="12807" width="10.140625" style="304" customWidth="1"/>
    <col min="12808" max="13055" width="8.85546875" style="304"/>
    <col min="13056" max="13057" width="3" style="304" customWidth="1"/>
    <col min="13058" max="13058" width="27.140625" style="304" customWidth="1"/>
    <col min="13059" max="13063" width="10.140625" style="304" customWidth="1"/>
    <col min="13064" max="13311" width="8.85546875" style="304"/>
    <col min="13312" max="13313" width="3" style="304" customWidth="1"/>
    <col min="13314" max="13314" width="27.140625" style="304" customWidth="1"/>
    <col min="13315" max="13319" width="10.140625" style="304" customWidth="1"/>
    <col min="13320" max="13567" width="8.85546875" style="304"/>
    <col min="13568" max="13569" width="3" style="304" customWidth="1"/>
    <col min="13570" max="13570" width="27.140625" style="304" customWidth="1"/>
    <col min="13571" max="13575" width="10.140625" style="304" customWidth="1"/>
    <col min="13576" max="13823" width="8.85546875" style="304"/>
    <col min="13824" max="13825" width="3" style="304" customWidth="1"/>
    <col min="13826" max="13826" width="27.140625" style="304" customWidth="1"/>
    <col min="13827" max="13831" width="10.140625" style="304" customWidth="1"/>
    <col min="13832" max="14079" width="8.85546875" style="304"/>
    <col min="14080" max="14081" width="3" style="304" customWidth="1"/>
    <col min="14082" max="14082" width="27.140625" style="304" customWidth="1"/>
    <col min="14083" max="14087" width="10.140625" style="304" customWidth="1"/>
    <col min="14088" max="14335" width="8.85546875" style="304"/>
    <col min="14336" max="14337" width="3" style="304" customWidth="1"/>
    <col min="14338" max="14338" width="27.140625" style="304" customWidth="1"/>
    <col min="14339" max="14343" width="10.140625" style="304" customWidth="1"/>
    <col min="14344" max="14591" width="8.85546875" style="304"/>
    <col min="14592" max="14593" width="3" style="304" customWidth="1"/>
    <col min="14594" max="14594" width="27.140625" style="304" customWidth="1"/>
    <col min="14595" max="14599" width="10.140625" style="304" customWidth="1"/>
    <col min="14600" max="14847" width="8.85546875" style="304"/>
    <col min="14848" max="14849" width="3" style="304" customWidth="1"/>
    <col min="14850" max="14850" width="27.140625" style="304" customWidth="1"/>
    <col min="14851" max="14855" width="10.140625" style="304" customWidth="1"/>
    <col min="14856" max="15103" width="8.85546875" style="304"/>
    <col min="15104" max="15105" width="3" style="304" customWidth="1"/>
    <col min="15106" max="15106" width="27.140625" style="304" customWidth="1"/>
    <col min="15107" max="15111" width="10.140625" style="304" customWidth="1"/>
    <col min="15112" max="15359" width="8.85546875" style="304"/>
    <col min="15360" max="15361" width="3" style="304" customWidth="1"/>
    <col min="15362" max="15362" width="27.140625" style="304" customWidth="1"/>
    <col min="15363" max="15367" width="10.140625" style="304" customWidth="1"/>
    <col min="15368" max="15615" width="8.85546875" style="304"/>
    <col min="15616" max="15617" width="3" style="304" customWidth="1"/>
    <col min="15618" max="15618" width="27.140625" style="304" customWidth="1"/>
    <col min="15619" max="15623" width="10.140625" style="304" customWidth="1"/>
    <col min="15624" max="15871" width="8.85546875" style="304"/>
    <col min="15872" max="15873" width="3" style="304" customWidth="1"/>
    <col min="15874" max="15874" width="27.140625" style="304" customWidth="1"/>
    <col min="15875" max="15879" width="10.140625" style="304" customWidth="1"/>
    <col min="15880" max="16127" width="8.85546875" style="304"/>
    <col min="16128" max="16129" width="3" style="304" customWidth="1"/>
    <col min="16130" max="16130" width="27.140625" style="304" customWidth="1"/>
    <col min="16131" max="16135" width="10.140625" style="304" customWidth="1"/>
    <col min="16136" max="16383" width="8.85546875" style="304"/>
    <col min="16384" max="16384" width="9.140625" style="304" customWidth="1"/>
  </cols>
  <sheetData>
    <row r="1" spans="1:17" x14ac:dyDescent="0.25">
      <c r="A1" s="301"/>
      <c r="B1" s="302" t="s">
        <v>120</v>
      </c>
      <c r="C1" s="301"/>
      <c r="D1" s="303"/>
      <c r="E1" s="303"/>
      <c r="F1" s="303"/>
      <c r="G1" s="303">
        <f>+Assumptions!F11</f>
        <v>0</v>
      </c>
    </row>
    <row r="2" spans="1:17" x14ac:dyDescent="0.25">
      <c r="A2" s="305" t="s">
        <v>0</v>
      </c>
      <c r="B2" s="305"/>
      <c r="C2" s="305"/>
      <c r="D2" s="306" t="s">
        <v>1</v>
      </c>
      <c r="E2" s="306" t="s">
        <v>2</v>
      </c>
      <c r="F2" s="306" t="s">
        <v>3</v>
      </c>
      <c r="G2" s="306" t="s">
        <v>4</v>
      </c>
      <c r="H2" s="304" t="s">
        <v>69</v>
      </c>
    </row>
    <row r="3" spans="1:17" x14ac:dyDescent="0.25">
      <c r="A3" s="301"/>
      <c r="B3" s="301"/>
      <c r="C3" s="301"/>
      <c r="D3" s="340"/>
      <c r="E3" s="344"/>
      <c r="F3" s="345"/>
      <c r="G3" s="320">
        <f>D3*F3*H3</f>
        <v>0</v>
      </c>
      <c r="H3" s="342">
        <v>0</v>
      </c>
      <c r="J3" s="304" t="s">
        <v>51</v>
      </c>
      <c r="K3" s="304" t="s">
        <v>122</v>
      </c>
      <c r="L3" s="304" t="s">
        <v>108</v>
      </c>
      <c r="M3" s="304" t="s">
        <v>83</v>
      </c>
      <c r="N3" s="304" t="s">
        <v>49</v>
      </c>
      <c r="O3" s="304" t="s">
        <v>53</v>
      </c>
    </row>
    <row r="4" spans="1:17" x14ac:dyDescent="0.25">
      <c r="A4" s="301"/>
      <c r="B4" s="301" t="s">
        <v>121</v>
      </c>
      <c r="C4" s="301"/>
      <c r="D4" s="343">
        <f>+K4</f>
        <v>63.75</v>
      </c>
      <c r="E4" s="303" t="s">
        <v>71</v>
      </c>
      <c r="F4" s="320">
        <f>+N4</f>
        <v>0.65</v>
      </c>
      <c r="G4" s="320">
        <f>D4*F4</f>
        <v>41.4375</v>
      </c>
      <c r="J4" s="313">
        <v>145</v>
      </c>
      <c r="K4" s="304">
        <f>+K5*K6</f>
        <v>63.75</v>
      </c>
      <c r="M4" s="313"/>
      <c r="N4" s="336">
        <f>+'Wheat Dual ~800Lb'!N4</f>
        <v>0.65</v>
      </c>
      <c r="O4" s="313">
        <f>+N4*K4</f>
        <v>41.4375</v>
      </c>
      <c r="Q4" s="304">
        <f>+K4*J4</f>
        <v>9243.75</v>
      </c>
    </row>
    <row r="5" spans="1:17" x14ac:dyDescent="0.25">
      <c r="A5" s="301"/>
      <c r="B5" s="301"/>
      <c r="C5" s="301"/>
      <c r="D5" s="343">
        <f>+M5</f>
        <v>0</v>
      </c>
      <c r="E5" s="303" t="s">
        <v>71</v>
      </c>
      <c r="F5" s="320">
        <f>+N5</f>
        <v>0</v>
      </c>
      <c r="G5" s="320">
        <f>D5*F5</f>
        <v>0</v>
      </c>
      <c r="J5" s="313"/>
      <c r="K5" s="304">
        <v>255</v>
      </c>
      <c r="M5" s="313"/>
      <c r="N5" s="336"/>
      <c r="O5" s="313"/>
      <c r="Q5" s="304">
        <f>+K5*J5</f>
        <v>0</v>
      </c>
    </row>
    <row r="6" spans="1:17" ht="15.75" thickBot="1" x14ac:dyDescent="0.3">
      <c r="A6" s="301"/>
      <c r="B6" s="301" t="s">
        <v>7</v>
      </c>
      <c r="C6" s="301"/>
      <c r="D6" s="301">
        <v>1</v>
      </c>
      <c r="E6" s="303" t="s">
        <v>8</v>
      </c>
      <c r="F6" s="320">
        <v>0</v>
      </c>
      <c r="G6" s="327">
        <f>D6*F6</f>
        <v>0</v>
      </c>
      <c r="K6" s="304">
        <v>0.25</v>
      </c>
      <c r="Q6" s="304">
        <f>+Q5+Q4</f>
        <v>9243.75</v>
      </c>
    </row>
    <row r="7" spans="1:17" ht="15.75" thickTop="1" x14ac:dyDescent="0.25">
      <c r="A7" s="316" t="s">
        <v>9</v>
      </c>
      <c r="B7" s="316"/>
      <c r="C7" s="316"/>
      <c r="D7" s="316"/>
      <c r="E7" s="316"/>
      <c r="F7" s="316"/>
      <c r="G7" s="317">
        <f>SUM(G3:G6)</f>
        <v>41.4375</v>
      </c>
      <c r="L7" s="304">
        <f>557/746</f>
        <v>0.7466487935656837</v>
      </c>
      <c r="Q7" s="304">
        <f>+Q6/(J5+J4)</f>
        <v>63.75</v>
      </c>
    </row>
    <row r="8" spans="1:17" x14ac:dyDescent="0.25">
      <c r="A8" s="305" t="s">
        <v>10</v>
      </c>
      <c r="B8" s="305"/>
      <c r="C8" s="305"/>
      <c r="D8" s="305" t="s">
        <v>1</v>
      </c>
      <c r="E8" s="305" t="s">
        <v>2</v>
      </c>
      <c r="F8" s="305" t="s">
        <v>3</v>
      </c>
      <c r="G8" s="305" t="s">
        <v>4</v>
      </c>
    </row>
    <row r="9" spans="1:17" x14ac:dyDescent="0.25">
      <c r="A9" s="301" t="s">
        <v>11</v>
      </c>
      <c r="B9" s="301"/>
      <c r="C9" s="301"/>
      <c r="D9" s="301"/>
      <c r="E9" s="301"/>
      <c r="F9" s="301"/>
      <c r="G9" s="301"/>
    </row>
    <row r="10" spans="1:17" x14ac:dyDescent="0.25">
      <c r="A10" s="301"/>
      <c r="B10" s="301" t="s">
        <v>12</v>
      </c>
      <c r="C10" s="301"/>
      <c r="D10" s="300">
        <v>1</v>
      </c>
      <c r="E10" s="339" t="s">
        <v>8</v>
      </c>
      <c r="F10" s="31">
        <v>54.45</v>
      </c>
      <c r="G10" s="320">
        <f>D10*F10</f>
        <v>54.45</v>
      </c>
    </row>
    <row r="11" spans="1:17" x14ac:dyDescent="0.25">
      <c r="A11" s="301"/>
      <c r="B11" s="301" t="s">
        <v>13</v>
      </c>
      <c r="C11" s="301"/>
      <c r="D11" s="300">
        <v>1</v>
      </c>
      <c r="E11" s="339" t="s">
        <v>8</v>
      </c>
      <c r="F11" s="31">
        <f>28.4+22+4.5</f>
        <v>54.9</v>
      </c>
      <c r="G11" s="320">
        <f t="shared" ref="G11:G20" si="0">D11*F11</f>
        <v>54.9</v>
      </c>
      <c r="M11" s="304">
        <v>145</v>
      </c>
      <c r="N11" s="304">
        <v>1.8</v>
      </c>
      <c r="O11" s="304">
        <v>0.8</v>
      </c>
      <c r="P11" s="304">
        <f>+O11*N11*M11</f>
        <v>208.8</v>
      </c>
    </row>
    <row r="12" spans="1:17" x14ac:dyDescent="0.25">
      <c r="A12" s="301"/>
      <c r="B12" s="301" t="s">
        <v>14</v>
      </c>
      <c r="C12" s="301"/>
      <c r="D12" s="300">
        <v>1</v>
      </c>
      <c r="E12" s="339" t="s">
        <v>8</v>
      </c>
      <c r="F12" s="31">
        <f>10+4.41</f>
        <v>14.41</v>
      </c>
      <c r="G12" s="320">
        <f t="shared" si="0"/>
        <v>14.41</v>
      </c>
      <c r="K12" s="346">
        <v>44127</v>
      </c>
      <c r="P12" s="304">
        <f>+N11*M11</f>
        <v>261</v>
      </c>
    </row>
    <row r="13" spans="1:17" x14ac:dyDescent="0.25">
      <c r="A13" s="301"/>
      <c r="B13" s="301" t="s">
        <v>15</v>
      </c>
      <c r="C13" s="301"/>
      <c r="D13" s="300">
        <v>1</v>
      </c>
      <c r="E13" s="339" t="s">
        <v>8</v>
      </c>
      <c r="F13" s="31">
        <f>+'Wheat Dual ~800Lb'!F13</f>
        <v>0</v>
      </c>
      <c r="G13" s="320">
        <f t="shared" si="0"/>
        <v>0</v>
      </c>
      <c r="K13" s="346">
        <v>44338</v>
      </c>
      <c r="N13" s="304">
        <f>327/145</f>
        <v>2.2551724137931033</v>
      </c>
    </row>
    <row r="14" spans="1:17" x14ac:dyDescent="0.25">
      <c r="A14" s="301"/>
      <c r="B14" s="301" t="s">
        <v>16</v>
      </c>
      <c r="C14" s="301"/>
      <c r="D14" s="300">
        <v>1</v>
      </c>
      <c r="E14" s="339" t="s">
        <v>8</v>
      </c>
      <c r="F14" s="31">
        <v>0</v>
      </c>
      <c r="G14" s="320">
        <f t="shared" si="0"/>
        <v>0</v>
      </c>
      <c r="K14" s="347">
        <f>+K13-K12</f>
        <v>211</v>
      </c>
    </row>
    <row r="15" spans="1:17" x14ac:dyDescent="0.25">
      <c r="A15" s="301"/>
      <c r="B15" s="301" t="s">
        <v>17</v>
      </c>
      <c r="C15" s="301"/>
      <c r="D15" s="299">
        <v>1</v>
      </c>
      <c r="E15" s="339" t="s">
        <v>18</v>
      </c>
      <c r="F15" s="31">
        <v>3</v>
      </c>
      <c r="G15" s="320">
        <f>D15*F15</f>
        <v>3</v>
      </c>
    </row>
    <row r="16" spans="1:17" x14ac:dyDescent="0.25">
      <c r="A16" s="301"/>
      <c r="B16" s="301" t="s">
        <v>19</v>
      </c>
      <c r="C16" s="301"/>
      <c r="D16" s="332">
        <v>0.1</v>
      </c>
      <c r="E16" s="339" t="s">
        <v>20</v>
      </c>
      <c r="F16" s="31">
        <v>0</v>
      </c>
      <c r="G16" s="320">
        <f t="shared" si="0"/>
        <v>0</v>
      </c>
    </row>
    <row r="17" spans="1:13" x14ac:dyDescent="0.25">
      <c r="A17" s="301"/>
      <c r="B17" s="301" t="s">
        <v>50</v>
      </c>
      <c r="C17" s="301"/>
      <c r="D17" s="300">
        <v>1</v>
      </c>
      <c r="E17" s="339" t="s">
        <v>8</v>
      </c>
      <c r="F17" s="31">
        <f>3.29+2.69</f>
        <v>5.98</v>
      </c>
      <c r="G17" s="320">
        <f t="shared" si="0"/>
        <v>5.98</v>
      </c>
    </row>
    <row r="18" spans="1:13" x14ac:dyDescent="0.25">
      <c r="A18" s="301"/>
      <c r="B18" s="301" t="s">
        <v>22</v>
      </c>
      <c r="C18" s="301"/>
      <c r="D18" s="299">
        <v>1</v>
      </c>
      <c r="E18" s="339" t="s">
        <v>23</v>
      </c>
      <c r="F18" s="31">
        <f>3.08+3.22</f>
        <v>6.3000000000000007</v>
      </c>
      <c r="G18" s="320">
        <f t="shared" si="0"/>
        <v>6.3000000000000007</v>
      </c>
      <c r="M18" s="304">
        <v>103</v>
      </c>
    </row>
    <row r="19" spans="1:13" x14ac:dyDescent="0.25">
      <c r="A19" s="301"/>
      <c r="B19" s="301" t="s">
        <v>24</v>
      </c>
      <c r="C19" s="301"/>
      <c r="D19" s="300">
        <v>1</v>
      </c>
      <c r="E19" s="339" t="s">
        <v>8</v>
      </c>
      <c r="F19" s="31">
        <f>+'Wheat Dual ~800Lb'!F19</f>
        <v>0</v>
      </c>
      <c r="G19" s="320">
        <f t="shared" si="0"/>
        <v>0</v>
      </c>
    </row>
    <row r="20" spans="1:13" x14ac:dyDescent="0.25">
      <c r="A20" s="301"/>
      <c r="B20" s="301" t="s">
        <v>25</v>
      </c>
      <c r="C20" s="301"/>
      <c r="D20" s="301">
        <v>1</v>
      </c>
      <c r="E20" s="303" t="s">
        <v>8</v>
      </c>
      <c r="F20" s="31">
        <v>0</v>
      </c>
      <c r="G20" s="320">
        <f t="shared" si="0"/>
        <v>0</v>
      </c>
    </row>
    <row r="21" spans="1:13" ht="15.75" thickBot="1" x14ac:dyDescent="0.3">
      <c r="A21" s="301"/>
      <c r="B21" s="301" t="s">
        <v>26</v>
      </c>
      <c r="C21" s="301"/>
      <c r="D21" s="301"/>
      <c r="E21" s="301"/>
      <c r="F21" s="321">
        <f>+Assumptions!F35</f>
        <v>7.4999999999999997E-2</v>
      </c>
      <c r="G21" s="322">
        <f>+SUM(G10:G20)*F21/12*6</f>
        <v>5.2139999999999995</v>
      </c>
      <c r="I21" s="323"/>
    </row>
    <row r="22" spans="1:13" x14ac:dyDescent="0.25">
      <c r="A22" s="301"/>
      <c r="B22" s="301"/>
      <c r="C22" s="301"/>
      <c r="D22" s="301"/>
      <c r="E22" s="301"/>
      <c r="F22" s="301"/>
      <c r="G22" s="320">
        <f>SUM(G10:G21)</f>
        <v>144.25399999999999</v>
      </c>
    </row>
    <row r="23" spans="1:13" x14ac:dyDescent="0.25">
      <c r="A23" s="301" t="s">
        <v>27</v>
      </c>
      <c r="B23" s="301"/>
      <c r="C23" s="301"/>
      <c r="D23" s="301"/>
      <c r="E23" s="301"/>
      <c r="F23" s="301"/>
      <c r="G23" s="301"/>
    </row>
    <row r="24" spans="1:13" x14ac:dyDescent="0.25">
      <c r="A24" s="301"/>
      <c r="B24" s="301" t="s">
        <v>28</v>
      </c>
      <c r="C24" s="301"/>
      <c r="D24" s="301">
        <v>1</v>
      </c>
      <c r="E24" s="301" t="s">
        <v>8</v>
      </c>
      <c r="F24" s="31">
        <v>0</v>
      </c>
      <c r="G24" s="320">
        <f>+D24*F24</f>
        <v>0</v>
      </c>
    </row>
    <row r="25" spans="1:13" x14ac:dyDescent="0.25">
      <c r="A25" s="301"/>
      <c r="B25" s="301" t="s">
        <v>29</v>
      </c>
      <c r="C25" s="301"/>
      <c r="D25" s="301"/>
      <c r="E25" s="301"/>
      <c r="F25" s="324"/>
      <c r="G25" s="301"/>
    </row>
    <row r="26" spans="1:13" ht="15.75" thickBot="1" x14ac:dyDescent="0.3">
      <c r="A26" s="301"/>
      <c r="B26" s="301"/>
      <c r="C26" s="301" t="s">
        <v>30</v>
      </c>
      <c r="D26" s="301">
        <v>1</v>
      </c>
      <c r="E26" s="301" t="s">
        <v>8</v>
      </c>
      <c r="F26" s="31">
        <v>0</v>
      </c>
      <c r="G26" s="322">
        <f>+D26*F26</f>
        <v>0</v>
      </c>
    </row>
    <row r="27" spans="1:13" ht="15.75" thickBot="1" x14ac:dyDescent="0.3">
      <c r="A27" s="301"/>
      <c r="B27" s="301"/>
      <c r="C27" s="301"/>
      <c r="D27" s="301" t="s">
        <v>31</v>
      </c>
      <c r="E27" s="301"/>
      <c r="F27" s="324"/>
      <c r="G27" s="325">
        <f>+G24+G26</f>
        <v>0</v>
      </c>
    </row>
    <row r="28" spans="1:13" ht="15.75" thickTop="1" x14ac:dyDescent="0.25">
      <c r="A28" s="301"/>
      <c r="B28" s="301"/>
      <c r="C28" s="301"/>
      <c r="D28" s="301"/>
      <c r="E28" s="301"/>
      <c r="F28" s="324"/>
      <c r="G28" s="301"/>
    </row>
    <row r="29" spans="1:13" ht="15.75" thickBot="1" x14ac:dyDescent="0.3">
      <c r="A29" s="301" t="s">
        <v>32</v>
      </c>
      <c r="B29" s="301"/>
      <c r="C29" s="301"/>
      <c r="D29" s="301">
        <v>1</v>
      </c>
      <c r="E29" s="301" t="s">
        <v>8</v>
      </c>
      <c r="F29" s="31">
        <v>0</v>
      </c>
      <c r="G29" s="326">
        <f>+D29*F29</f>
        <v>0</v>
      </c>
    </row>
    <row r="30" spans="1:13" ht="15.75" thickTop="1" x14ac:dyDescent="0.25">
      <c r="A30" s="301"/>
      <c r="B30" s="301"/>
      <c r="C30" s="301"/>
      <c r="D30" s="301"/>
      <c r="E30" s="301"/>
      <c r="F30" s="301"/>
      <c r="G30" s="301"/>
    </row>
    <row r="31" spans="1:13" ht="15.75" thickBot="1" x14ac:dyDescent="0.3">
      <c r="A31" s="301" t="s">
        <v>33</v>
      </c>
      <c r="B31" s="301"/>
      <c r="C31" s="301"/>
      <c r="D31" s="301"/>
      <c r="E31" s="301"/>
      <c r="F31" s="301"/>
      <c r="G31" s="327">
        <f>+G22+G27+G29</f>
        <v>144.25399999999999</v>
      </c>
    </row>
    <row r="32" spans="1:13" ht="15.75" thickTop="1" x14ac:dyDescent="0.25">
      <c r="A32" s="301"/>
      <c r="B32" s="301"/>
      <c r="C32" s="301"/>
      <c r="D32" s="301"/>
      <c r="E32" s="301"/>
      <c r="F32" s="301"/>
      <c r="G32" s="301"/>
    </row>
    <row r="33" spans="1:7" x14ac:dyDescent="0.25">
      <c r="A33" s="301" t="s">
        <v>34</v>
      </c>
      <c r="B33" s="301"/>
      <c r="C33" s="301"/>
      <c r="D33" s="301"/>
      <c r="E33" s="301"/>
      <c r="F33" s="301"/>
      <c r="G33" s="320">
        <f>+G7-G31</f>
        <v>-102.81649999999999</v>
      </c>
    </row>
    <row r="34" spans="1:7" x14ac:dyDescent="0.25">
      <c r="A34" s="301"/>
      <c r="B34" s="301" t="s">
        <v>35</v>
      </c>
      <c r="C34" s="301"/>
      <c r="D34" s="301"/>
      <c r="E34" s="301" t="s">
        <v>6</v>
      </c>
      <c r="F34" s="328" t="str">
        <f>IF(D3=0,"n/a",(G31-G4-G5-G6)/D3)</f>
        <v>n/a</v>
      </c>
      <c r="G34" s="301"/>
    </row>
    <row r="35" spans="1:7" x14ac:dyDescent="0.25">
      <c r="A35" s="301"/>
      <c r="B35" s="301"/>
      <c r="C35" s="301"/>
      <c r="D35" s="301"/>
      <c r="E35" s="301"/>
      <c r="F35" s="301"/>
      <c r="G35" s="301"/>
    </row>
    <row r="36" spans="1:7" x14ac:dyDescent="0.25">
      <c r="A36" s="305" t="s">
        <v>36</v>
      </c>
      <c r="B36" s="305"/>
      <c r="C36" s="305"/>
      <c r="D36" s="305" t="s">
        <v>1</v>
      </c>
      <c r="E36" s="305" t="s">
        <v>2</v>
      </c>
      <c r="F36" s="305" t="s">
        <v>3</v>
      </c>
      <c r="G36" s="305" t="s">
        <v>4</v>
      </c>
    </row>
    <row r="37" spans="1:7" x14ac:dyDescent="0.25">
      <c r="A37" s="301"/>
      <c r="B37" s="301" t="s">
        <v>37</v>
      </c>
      <c r="C37" s="301"/>
      <c r="D37" s="301">
        <v>1</v>
      </c>
      <c r="E37" s="301" t="s">
        <v>8</v>
      </c>
      <c r="F37" s="31">
        <f>4.14+3.35</f>
        <v>7.49</v>
      </c>
      <c r="G37" s="320">
        <f>D37*F37</f>
        <v>7.49</v>
      </c>
    </row>
    <row r="38" spans="1:7" x14ac:dyDescent="0.25">
      <c r="A38" s="301"/>
      <c r="B38" s="301" t="s">
        <v>111</v>
      </c>
      <c r="C38" s="301"/>
      <c r="D38" s="301">
        <v>1</v>
      </c>
      <c r="E38" s="301" t="s">
        <v>8</v>
      </c>
      <c r="F38" s="31">
        <f>1.76+0.79</f>
        <v>2.5499999999999998</v>
      </c>
      <c r="G38" s="320">
        <f t="shared" ref="G38:G45" si="1">D38*F38</f>
        <v>2.5499999999999998</v>
      </c>
    </row>
    <row r="39" spans="1:7" x14ac:dyDescent="0.25">
      <c r="A39" s="301"/>
      <c r="B39" s="301" t="s">
        <v>39</v>
      </c>
      <c r="C39" s="301"/>
      <c r="D39" s="301">
        <v>1</v>
      </c>
      <c r="E39" s="301" t="s">
        <v>8</v>
      </c>
      <c r="F39" s="31">
        <f>+'Wheat Graze Out'!F39</f>
        <v>0</v>
      </c>
      <c r="G39" s="320">
        <f t="shared" si="1"/>
        <v>0</v>
      </c>
    </row>
    <row r="40" spans="1:7" x14ac:dyDescent="0.25">
      <c r="A40" s="301"/>
      <c r="B40" s="301" t="s">
        <v>40</v>
      </c>
      <c r="C40" s="301"/>
      <c r="D40" s="301">
        <v>1</v>
      </c>
      <c r="E40" s="301" t="s">
        <v>8</v>
      </c>
      <c r="F40" s="31">
        <f>+'Wheat Graze Out'!F40</f>
        <v>30</v>
      </c>
      <c r="G40" s="320">
        <f t="shared" si="1"/>
        <v>30</v>
      </c>
    </row>
    <row r="41" spans="1:7" x14ac:dyDescent="0.25">
      <c r="A41" s="301"/>
      <c r="B41" s="301" t="s">
        <v>41</v>
      </c>
      <c r="C41" s="301"/>
      <c r="D41" s="301">
        <v>1</v>
      </c>
      <c r="E41" s="301" t="s">
        <v>8</v>
      </c>
      <c r="F41" s="31">
        <f>+'Wheat Graze Out'!F41</f>
        <v>0</v>
      </c>
      <c r="G41" s="320">
        <f t="shared" si="1"/>
        <v>0</v>
      </c>
    </row>
    <row r="42" spans="1:7" x14ac:dyDescent="0.25">
      <c r="A42" s="301"/>
      <c r="B42" s="329" t="s">
        <v>43</v>
      </c>
      <c r="C42" s="301"/>
      <c r="D42" s="301">
        <v>1</v>
      </c>
      <c r="E42" s="301" t="s">
        <v>8</v>
      </c>
      <c r="F42" s="31">
        <f>+'Wheat Graze Out'!F42</f>
        <v>0</v>
      </c>
      <c r="G42" s="320">
        <f t="shared" si="1"/>
        <v>0</v>
      </c>
    </row>
    <row r="43" spans="1:7" x14ac:dyDescent="0.25">
      <c r="A43" s="301"/>
      <c r="B43" s="28" t="s">
        <v>43</v>
      </c>
      <c r="C43" s="28"/>
      <c r="D43" s="28">
        <v>1</v>
      </c>
      <c r="E43" s="28" t="s">
        <v>8</v>
      </c>
      <c r="F43" s="31">
        <v>0</v>
      </c>
      <c r="G43" s="320">
        <f t="shared" si="1"/>
        <v>0</v>
      </c>
    </row>
    <row r="44" spans="1:7" x14ac:dyDescent="0.25">
      <c r="A44" s="301"/>
      <c r="B44" s="28" t="s">
        <v>43</v>
      </c>
      <c r="C44" s="28"/>
      <c r="D44" s="28">
        <v>1</v>
      </c>
      <c r="E44" s="28" t="s">
        <v>8</v>
      </c>
      <c r="F44" s="31">
        <v>0</v>
      </c>
      <c r="G44" s="320">
        <f t="shared" si="1"/>
        <v>0</v>
      </c>
    </row>
    <row r="45" spans="1:7" ht="15.75" thickBot="1" x14ac:dyDescent="0.3">
      <c r="A45" s="301"/>
      <c r="B45" s="28" t="s">
        <v>43</v>
      </c>
      <c r="C45" s="28"/>
      <c r="D45" s="28">
        <v>1</v>
      </c>
      <c r="E45" s="28" t="s">
        <v>8</v>
      </c>
      <c r="F45" s="31">
        <v>0</v>
      </c>
      <c r="G45" s="327">
        <f t="shared" si="1"/>
        <v>0</v>
      </c>
    </row>
    <row r="46" spans="1:7" ht="15.75" thickTop="1" x14ac:dyDescent="0.25">
      <c r="A46" s="301"/>
      <c r="B46" s="301"/>
      <c r="C46" s="301"/>
      <c r="D46" s="301"/>
      <c r="E46" s="301"/>
      <c r="F46" s="301"/>
      <c r="G46" s="301"/>
    </row>
    <row r="47" spans="1:7" ht="15.75" thickBot="1" x14ac:dyDescent="0.3">
      <c r="A47" s="301" t="s">
        <v>44</v>
      </c>
      <c r="B47" s="301"/>
      <c r="C47" s="301"/>
      <c r="D47" s="301"/>
      <c r="E47" s="301"/>
      <c r="F47" s="301"/>
      <c r="G47" s="327">
        <f>SUM(G37:G45)</f>
        <v>40.04</v>
      </c>
    </row>
    <row r="48" spans="1:7" ht="15.75" thickTop="1" x14ac:dyDescent="0.25">
      <c r="A48" s="301"/>
      <c r="B48" s="301"/>
      <c r="C48" s="301"/>
      <c r="D48" s="301"/>
      <c r="E48" s="301"/>
      <c r="F48" s="301"/>
      <c r="G48" s="301"/>
    </row>
    <row r="49" spans="1:7" ht="15.75" thickBot="1" x14ac:dyDescent="0.3">
      <c r="A49" s="301" t="s">
        <v>45</v>
      </c>
      <c r="B49" s="301"/>
      <c r="C49" s="301"/>
      <c r="D49" s="301"/>
      <c r="E49" s="301"/>
      <c r="F49" s="301"/>
      <c r="G49" s="327">
        <f>+G31+G47</f>
        <v>184.29399999999998</v>
      </c>
    </row>
    <row r="50" spans="1:7" ht="15.75" thickTop="1" x14ac:dyDescent="0.25">
      <c r="A50" s="301"/>
      <c r="B50" s="301"/>
      <c r="C50" s="301"/>
      <c r="D50" s="301"/>
      <c r="E50" s="301"/>
      <c r="F50" s="301"/>
      <c r="G50" s="301"/>
    </row>
    <row r="51" spans="1:7" x14ac:dyDescent="0.25">
      <c r="A51" s="301" t="s">
        <v>46</v>
      </c>
      <c r="B51" s="301"/>
      <c r="C51" s="301"/>
      <c r="D51" s="301"/>
      <c r="E51" s="301"/>
      <c r="F51" s="301"/>
      <c r="G51" s="320">
        <f>+G7-G49</f>
        <v>-142.85649999999998</v>
      </c>
    </row>
    <row r="52" spans="1:7" ht="15.75" thickBot="1" x14ac:dyDescent="0.3">
      <c r="A52" s="330" t="s">
        <v>47</v>
      </c>
      <c r="B52" s="330"/>
      <c r="C52" s="330"/>
      <c r="D52" s="330"/>
      <c r="E52" s="330" t="s">
        <v>6</v>
      </c>
      <c r="F52" s="331" t="str">
        <f>IF(D3=0,"n/a",(G49-G4-G5-G6)/D3)</f>
        <v>n/a</v>
      </c>
      <c r="G52" s="330"/>
    </row>
    <row r="53" spans="1:7" ht="15.75" thickTop="1" x14ac:dyDescent="0.25"/>
  </sheetData>
  <sheetProtection sheet="1" objects="1" scenarios="1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6193F-BDAA-4B4E-803D-EE53823207EE}">
  <dimension ref="A1:T53"/>
  <sheetViews>
    <sheetView workbookViewId="0">
      <selection activeCell="V20" sqref="V20"/>
    </sheetView>
  </sheetViews>
  <sheetFormatPr defaultRowHeight="15" x14ac:dyDescent="0.25"/>
  <cols>
    <col min="1" max="2" width="3" style="304" customWidth="1"/>
    <col min="3" max="3" width="27.140625" style="304" customWidth="1"/>
    <col min="4" max="7" width="10.140625" style="304" customWidth="1"/>
    <col min="8" max="8" width="8.85546875" style="304"/>
    <col min="9" max="10" width="0" style="304" hidden="1" customWidth="1"/>
    <col min="11" max="11" width="10.140625" style="304" hidden="1" customWidth="1"/>
    <col min="12" max="12" width="10" style="304" hidden="1" customWidth="1"/>
    <col min="13" max="21" width="0" style="304" hidden="1" customWidth="1"/>
    <col min="22" max="255" width="8.85546875" style="304"/>
    <col min="256" max="257" width="3" style="304" customWidth="1"/>
    <col min="258" max="258" width="27.140625" style="304" customWidth="1"/>
    <col min="259" max="263" width="10.140625" style="304" customWidth="1"/>
    <col min="264" max="511" width="8.85546875" style="304"/>
    <col min="512" max="513" width="3" style="304" customWidth="1"/>
    <col min="514" max="514" width="27.140625" style="304" customWidth="1"/>
    <col min="515" max="519" width="10.140625" style="304" customWidth="1"/>
    <col min="520" max="767" width="8.85546875" style="304"/>
    <col min="768" max="769" width="3" style="304" customWidth="1"/>
    <col min="770" max="770" width="27.140625" style="304" customWidth="1"/>
    <col min="771" max="775" width="10.140625" style="304" customWidth="1"/>
    <col min="776" max="1023" width="8.85546875" style="304"/>
    <col min="1024" max="1025" width="3" style="304" customWidth="1"/>
    <col min="1026" max="1026" width="27.140625" style="304" customWidth="1"/>
    <col min="1027" max="1031" width="10.140625" style="304" customWidth="1"/>
    <col min="1032" max="1279" width="8.85546875" style="304"/>
    <col min="1280" max="1281" width="3" style="304" customWidth="1"/>
    <col min="1282" max="1282" width="27.140625" style="304" customWidth="1"/>
    <col min="1283" max="1287" width="10.140625" style="304" customWidth="1"/>
    <col min="1288" max="1535" width="8.85546875" style="304"/>
    <col min="1536" max="1537" width="3" style="304" customWidth="1"/>
    <col min="1538" max="1538" width="27.140625" style="304" customWidth="1"/>
    <col min="1539" max="1543" width="10.140625" style="304" customWidth="1"/>
    <col min="1544" max="1791" width="8.85546875" style="304"/>
    <col min="1792" max="1793" width="3" style="304" customWidth="1"/>
    <col min="1794" max="1794" width="27.140625" style="304" customWidth="1"/>
    <col min="1795" max="1799" width="10.140625" style="304" customWidth="1"/>
    <col min="1800" max="2047" width="8.85546875" style="304"/>
    <col min="2048" max="2049" width="3" style="304" customWidth="1"/>
    <col min="2050" max="2050" width="27.140625" style="304" customWidth="1"/>
    <col min="2051" max="2055" width="10.140625" style="304" customWidth="1"/>
    <col min="2056" max="2303" width="8.85546875" style="304"/>
    <col min="2304" max="2305" width="3" style="304" customWidth="1"/>
    <col min="2306" max="2306" width="27.140625" style="304" customWidth="1"/>
    <col min="2307" max="2311" width="10.140625" style="304" customWidth="1"/>
    <col min="2312" max="2559" width="8.85546875" style="304"/>
    <col min="2560" max="2561" width="3" style="304" customWidth="1"/>
    <col min="2562" max="2562" width="27.140625" style="304" customWidth="1"/>
    <col min="2563" max="2567" width="10.140625" style="304" customWidth="1"/>
    <col min="2568" max="2815" width="8.85546875" style="304"/>
    <col min="2816" max="2817" width="3" style="304" customWidth="1"/>
    <col min="2818" max="2818" width="27.140625" style="304" customWidth="1"/>
    <col min="2819" max="2823" width="10.140625" style="304" customWidth="1"/>
    <col min="2824" max="3071" width="8.85546875" style="304"/>
    <col min="3072" max="3073" width="3" style="304" customWidth="1"/>
    <col min="3074" max="3074" width="27.140625" style="304" customWidth="1"/>
    <col min="3075" max="3079" width="10.140625" style="304" customWidth="1"/>
    <col min="3080" max="3327" width="8.85546875" style="304"/>
    <col min="3328" max="3329" width="3" style="304" customWidth="1"/>
    <col min="3330" max="3330" width="27.140625" style="304" customWidth="1"/>
    <col min="3331" max="3335" width="10.140625" style="304" customWidth="1"/>
    <col min="3336" max="3583" width="8.85546875" style="304"/>
    <col min="3584" max="3585" width="3" style="304" customWidth="1"/>
    <col min="3586" max="3586" width="27.140625" style="304" customWidth="1"/>
    <col min="3587" max="3591" width="10.140625" style="304" customWidth="1"/>
    <col min="3592" max="3839" width="8.85546875" style="304"/>
    <col min="3840" max="3841" width="3" style="304" customWidth="1"/>
    <col min="3842" max="3842" width="27.140625" style="304" customWidth="1"/>
    <col min="3843" max="3847" width="10.140625" style="304" customWidth="1"/>
    <col min="3848" max="4095" width="8.85546875" style="304"/>
    <col min="4096" max="4097" width="3" style="304" customWidth="1"/>
    <col min="4098" max="4098" width="27.140625" style="304" customWidth="1"/>
    <col min="4099" max="4103" width="10.140625" style="304" customWidth="1"/>
    <col min="4104" max="4351" width="8.85546875" style="304"/>
    <col min="4352" max="4353" width="3" style="304" customWidth="1"/>
    <col min="4354" max="4354" width="27.140625" style="304" customWidth="1"/>
    <col min="4355" max="4359" width="10.140625" style="304" customWidth="1"/>
    <col min="4360" max="4607" width="8.85546875" style="304"/>
    <col min="4608" max="4609" width="3" style="304" customWidth="1"/>
    <col min="4610" max="4610" width="27.140625" style="304" customWidth="1"/>
    <col min="4611" max="4615" width="10.140625" style="304" customWidth="1"/>
    <col min="4616" max="4863" width="8.85546875" style="304"/>
    <col min="4864" max="4865" width="3" style="304" customWidth="1"/>
    <col min="4866" max="4866" width="27.140625" style="304" customWidth="1"/>
    <col min="4867" max="4871" width="10.140625" style="304" customWidth="1"/>
    <col min="4872" max="5119" width="8.85546875" style="304"/>
    <col min="5120" max="5121" width="3" style="304" customWidth="1"/>
    <col min="5122" max="5122" width="27.140625" style="304" customWidth="1"/>
    <col min="5123" max="5127" width="10.140625" style="304" customWidth="1"/>
    <col min="5128" max="5375" width="8.85546875" style="304"/>
    <col min="5376" max="5377" width="3" style="304" customWidth="1"/>
    <col min="5378" max="5378" width="27.140625" style="304" customWidth="1"/>
    <col min="5379" max="5383" width="10.140625" style="304" customWidth="1"/>
    <col min="5384" max="5631" width="8.85546875" style="304"/>
    <col min="5632" max="5633" width="3" style="304" customWidth="1"/>
    <col min="5634" max="5634" width="27.140625" style="304" customWidth="1"/>
    <col min="5635" max="5639" width="10.140625" style="304" customWidth="1"/>
    <col min="5640" max="5887" width="8.85546875" style="304"/>
    <col min="5888" max="5889" width="3" style="304" customWidth="1"/>
    <col min="5890" max="5890" width="27.140625" style="304" customWidth="1"/>
    <col min="5891" max="5895" width="10.140625" style="304" customWidth="1"/>
    <col min="5896" max="6143" width="8.85546875" style="304"/>
    <col min="6144" max="6145" width="3" style="304" customWidth="1"/>
    <col min="6146" max="6146" width="27.140625" style="304" customWidth="1"/>
    <col min="6147" max="6151" width="10.140625" style="304" customWidth="1"/>
    <col min="6152" max="6399" width="8.85546875" style="304"/>
    <col min="6400" max="6401" width="3" style="304" customWidth="1"/>
    <col min="6402" max="6402" width="27.140625" style="304" customWidth="1"/>
    <col min="6403" max="6407" width="10.140625" style="304" customWidth="1"/>
    <col min="6408" max="6655" width="8.85546875" style="304"/>
    <col min="6656" max="6657" width="3" style="304" customWidth="1"/>
    <col min="6658" max="6658" width="27.140625" style="304" customWidth="1"/>
    <col min="6659" max="6663" width="10.140625" style="304" customWidth="1"/>
    <col min="6664" max="6911" width="8.85546875" style="304"/>
    <col min="6912" max="6913" width="3" style="304" customWidth="1"/>
    <col min="6914" max="6914" width="27.140625" style="304" customWidth="1"/>
    <col min="6915" max="6919" width="10.140625" style="304" customWidth="1"/>
    <col min="6920" max="7167" width="8.85546875" style="304"/>
    <col min="7168" max="7169" width="3" style="304" customWidth="1"/>
    <col min="7170" max="7170" width="27.140625" style="304" customWidth="1"/>
    <col min="7171" max="7175" width="10.140625" style="304" customWidth="1"/>
    <col min="7176" max="7423" width="8.85546875" style="304"/>
    <col min="7424" max="7425" width="3" style="304" customWidth="1"/>
    <col min="7426" max="7426" width="27.140625" style="304" customWidth="1"/>
    <col min="7427" max="7431" width="10.140625" style="304" customWidth="1"/>
    <col min="7432" max="7679" width="8.85546875" style="304"/>
    <col min="7680" max="7681" width="3" style="304" customWidth="1"/>
    <col min="7682" max="7682" width="27.140625" style="304" customWidth="1"/>
    <col min="7683" max="7687" width="10.140625" style="304" customWidth="1"/>
    <col min="7688" max="7935" width="8.85546875" style="304"/>
    <col min="7936" max="7937" width="3" style="304" customWidth="1"/>
    <col min="7938" max="7938" width="27.140625" style="304" customWidth="1"/>
    <col min="7939" max="7943" width="10.140625" style="304" customWidth="1"/>
    <col min="7944" max="8191" width="8.85546875" style="304"/>
    <col min="8192" max="8193" width="3" style="304" customWidth="1"/>
    <col min="8194" max="8194" width="27.140625" style="304" customWidth="1"/>
    <col min="8195" max="8199" width="10.140625" style="304" customWidth="1"/>
    <col min="8200" max="8447" width="8.85546875" style="304"/>
    <col min="8448" max="8449" width="3" style="304" customWidth="1"/>
    <col min="8450" max="8450" width="27.140625" style="304" customWidth="1"/>
    <col min="8451" max="8455" width="10.140625" style="304" customWidth="1"/>
    <col min="8456" max="8703" width="8.85546875" style="304"/>
    <col min="8704" max="8705" width="3" style="304" customWidth="1"/>
    <col min="8706" max="8706" width="27.140625" style="304" customWidth="1"/>
    <col min="8707" max="8711" width="10.140625" style="304" customWidth="1"/>
    <col min="8712" max="8959" width="8.85546875" style="304"/>
    <col min="8960" max="8961" width="3" style="304" customWidth="1"/>
    <col min="8962" max="8962" width="27.140625" style="304" customWidth="1"/>
    <col min="8963" max="8967" width="10.140625" style="304" customWidth="1"/>
    <col min="8968" max="9215" width="8.85546875" style="304"/>
    <col min="9216" max="9217" width="3" style="304" customWidth="1"/>
    <col min="9218" max="9218" width="27.140625" style="304" customWidth="1"/>
    <col min="9219" max="9223" width="10.140625" style="304" customWidth="1"/>
    <col min="9224" max="9471" width="8.85546875" style="304"/>
    <col min="9472" max="9473" width="3" style="304" customWidth="1"/>
    <col min="9474" max="9474" width="27.140625" style="304" customWidth="1"/>
    <col min="9475" max="9479" width="10.140625" style="304" customWidth="1"/>
    <col min="9480" max="9727" width="8.85546875" style="304"/>
    <col min="9728" max="9729" width="3" style="304" customWidth="1"/>
    <col min="9730" max="9730" width="27.140625" style="304" customWidth="1"/>
    <col min="9731" max="9735" width="10.140625" style="304" customWidth="1"/>
    <col min="9736" max="9983" width="8.85546875" style="304"/>
    <col min="9984" max="9985" width="3" style="304" customWidth="1"/>
    <col min="9986" max="9986" width="27.140625" style="304" customWidth="1"/>
    <col min="9987" max="9991" width="10.140625" style="304" customWidth="1"/>
    <col min="9992" max="10239" width="8.85546875" style="304"/>
    <col min="10240" max="10241" width="3" style="304" customWidth="1"/>
    <col min="10242" max="10242" width="27.140625" style="304" customWidth="1"/>
    <col min="10243" max="10247" width="10.140625" style="304" customWidth="1"/>
    <col min="10248" max="10495" width="8.85546875" style="304"/>
    <col min="10496" max="10497" width="3" style="304" customWidth="1"/>
    <col min="10498" max="10498" width="27.140625" style="304" customWidth="1"/>
    <col min="10499" max="10503" width="10.140625" style="304" customWidth="1"/>
    <col min="10504" max="10751" width="8.85546875" style="304"/>
    <col min="10752" max="10753" width="3" style="304" customWidth="1"/>
    <col min="10754" max="10754" width="27.140625" style="304" customWidth="1"/>
    <col min="10755" max="10759" width="10.140625" style="304" customWidth="1"/>
    <col min="10760" max="11007" width="8.85546875" style="304"/>
    <col min="11008" max="11009" width="3" style="304" customWidth="1"/>
    <col min="11010" max="11010" width="27.140625" style="304" customWidth="1"/>
    <col min="11011" max="11015" width="10.140625" style="304" customWidth="1"/>
    <col min="11016" max="11263" width="8.85546875" style="304"/>
    <col min="11264" max="11265" width="3" style="304" customWidth="1"/>
    <col min="11266" max="11266" width="27.140625" style="304" customWidth="1"/>
    <col min="11267" max="11271" width="10.140625" style="304" customWidth="1"/>
    <col min="11272" max="11519" width="8.85546875" style="304"/>
    <col min="11520" max="11521" width="3" style="304" customWidth="1"/>
    <col min="11522" max="11522" width="27.140625" style="304" customWidth="1"/>
    <col min="11523" max="11527" width="10.140625" style="304" customWidth="1"/>
    <col min="11528" max="11775" width="8.85546875" style="304"/>
    <col min="11776" max="11777" width="3" style="304" customWidth="1"/>
    <col min="11778" max="11778" width="27.140625" style="304" customWidth="1"/>
    <col min="11779" max="11783" width="10.140625" style="304" customWidth="1"/>
    <col min="11784" max="12031" width="8.85546875" style="304"/>
    <col min="12032" max="12033" width="3" style="304" customWidth="1"/>
    <col min="12034" max="12034" width="27.140625" style="304" customWidth="1"/>
    <col min="12035" max="12039" width="10.140625" style="304" customWidth="1"/>
    <col min="12040" max="12287" width="8.85546875" style="304"/>
    <col min="12288" max="12289" width="3" style="304" customWidth="1"/>
    <col min="12290" max="12290" width="27.140625" style="304" customWidth="1"/>
    <col min="12291" max="12295" width="10.140625" style="304" customWidth="1"/>
    <col min="12296" max="12543" width="8.85546875" style="304"/>
    <col min="12544" max="12545" width="3" style="304" customWidth="1"/>
    <col min="12546" max="12546" width="27.140625" style="304" customWidth="1"/>
    <col min="12547" max="12551" width="10.140625" style="304" customWidth="1"/>
    <col min="12552" max="12799" width="8.85546875" style="304"/>
    <col min="12800" max="12801" width="3" style="304" customWidth="1"/>
    <col min="12802" max="12802" width="27.140625" style="304" customWidth="1"/>
    <col min="12803" max="12807" width="10.140625" style="304" customWidth="1"/>
    <col min="12808" max="13055" width="8.85546875" style="304"/>
    <col min="13056" max="13057" width="3" style="304" customWidth="1"/>
    <col min="13058" max="13058" width="27.140625" style="304" customWidth="1"/>
    <col min="13059" max="13063" width="10.140625" style="304" customWidth="1"/>
    <col min="13064" max="13311" width="8.85546875" style="304"/>
    <col min="13312" max="13313" width="3" style="304" customWidth="1"/>
    <col min="13314" max="13314" width="27.140625" style="304" customWidth="1"/>
    <col min="13315" max="13319" width="10.140625" style="304" customWidth="1"/>
    <col min="13320" max="13567" width="8.85546875" style="304"/>
    <col min="13568" max="13569" width="3" style="304" customWidth="1"/>
    <col min="13570" max="13570" width="27.140625" style="304" customWidth="1"/>
    <col min="13571" max="13575" width="10.140625" style="304" customWidth="1"/>
    <col min="13576" max="13823" width="8.85546875" style="304"/>
    <col min="13824" max="13825" width="3" style="304" customWidth="1"/>
    <col min="13826" max="13826" width="27.140625" style="304" customWidth="1"/>
    <col min="13827" max="13831" width="10.140625" style="304" customWidth="1"/>
    <col min="13832" max="14079" width="8.85546875" style="304"/>
    <col min="14080" max="14081" width="3" style="304" customWidth="1"/>
    <col min="14082" max="14082" width="27.140625" style="304" customWidth="1"/>
    <col min="14083" max="14087" width="10.140625" style="304" customWidth="1"/>
    <col min="14088" max="14335" width="8.85546875" style="304"/>
    <col min="14336" max="14337" width="3" style="304" customWidth="1"/>
    <col min="14338" max="14338" width="27.140625" style="304" customWidth="1"/>
    <col min="14339" max="14343" width="10.140625" style="304" customWidth="1"/>
    <col min="14344" max="14591" width="8.85546875" style="304"/>
    <col min="14592" max="14593" width="3" style="304" customWidth="1"/>
    <col min="14594" max="14594" width="27.140625" style="304" customWidth="1"/>
    <col min="14595" max="14599" width="10.140625" style="304" customWidth="1"/>
    <col min="14600" max="14847" width="8.85546875" style="304"/>
    <col min="14848" max="14849" width="3" style="304" customWidth="1"/>
    <col min="14850" max="14850" width="27.140625" style="304" customWidth="1"/>
    <col min="14851" max="14855" width="10.140625" style="304" customWidth="1"/>
    <col min="14856" max="15103" width="8.85546875" style="304"/>
    <col min="15104" max="15105" width="3" style="304" customWidth="1"/>
    <col min="15106" max="15106" width="27.140625" style="304" customWidth="1"/>
    <col min="15107" max="15111" width="10.140625" style="304" customWidth="1"/>
    <col min="15112" max="15359" width="8.85546875" style="304"/>
    <col min="15360" max="15361" width="3" style="304" customWidth="1"/>
    <col min="15362" max="15362" width="27.140625" style="304" customWidth="1"/>
    <col min="15363" max="15367" width="10.140625" style="304" customWidth="1"/>
    <col min="15368" max="15615" width="8.85546875" style="304"/>
    <col min="15616" max="15617" width="3" style="304" customWidth="1"/>
    <col min="15618" max="15618" width="27.140625" style="304" customWidth="1"/>
    <col min="15619" max="15623" width="10.140625" style="304" customWidth="1"/>
    <col min="15624" max="15871" width="8.85546875" style="304"/>
    <col min="15872" max="15873" width="3" style="304" customWidth="1"/>
    <col min="15874" max="15874" width="27.140625" style="304" customWidth="1"/>
    <col min="15875" max="15879" width="10.140625" style="304" customWidth="1"/>
    <col min="15880" max="16127" width="8.85546875" style="304"/>
    <col min="16128" max="16129" width="3" style="304" customWidth="1"/>
    <col min="16130" max="16130" width="27.140625" style="304" customWidth="1"/>
    <col min="16131" max="16135" width="10.140625" style="304" customWidth="1"/>
    <col min="16136" max="16383" width="8.85546875" style="304"/>
    <col min="16384" max="16384" width="9.140625" style="304" customWidth="1"/>
  </cols>
  <sheetData>
    <row r="1" spans="1:20" x14ac:dyDescent="0.25">
      <c r="A1" s="301"/>
      <c r="B1" s="302" t="s">
        <v>120</v>
      </c>
      <c r="C1" s="301"/>
      <c r="D1" s="303"/>
      <c r="E1" s="303"/>
      <c r="F1" s="303"/>
      <c r="G1" s="303">
        <f>+Assumptions!F11</f>
        <v>0</v>
      </c>
    </row>
    <row r="2" spans="1:20" x14ac:dyDescent="0.25">
      <c r="A2" s="305" t="s">
        <v>0</v>
      </c>
      <c r="B2" s="305"/>
      <c r="C2" s="305"/>
      <c r="D2" s="306" t="s">
        <v>1</v>
      </c>
      <c r="E2" s="306" t="s">
        <v>2</v>
      </c>
      <c r="F2" s="306" t="s">
        <v>3</v>
      </c>
      <c r="G2" s="306" t="s">
        <v>4</v>
      </c>
      <c r="H2" s="304" t="s">
        <v>69</v>
      </c>
    </row>
    <row r="3" spans="1:20" x14ac:dyDescent="0.25">
      <c r="A3" s="301"/>
      <c r="B3" s="301"/>
      <c r="C3" s="301"/>
      <c r="D3" s="340"/>
      <c r="E3" s="344"/>
      <c r="F3" s="345"/>
      <c r="G3" s="320">
        <f>D3*F3*H3</f>
        <v>0</v>
      </c>
      <c r="H3" s="342">
        <v>0</v>
      </c>
      <c r="J3" s="304" t="s">
        <v>51</v>
      </c>
      <c r="K3" s="304" t="s">
        <v>122</v>
      </c>
      <c r="L3" s="304" t="s">
        <v>108</v>
      </c>
      <c r="M3" s="304" t="s">
        <v>83</v>
      </c>
      <c r="N3" s="304" t="s">
        <v>49</v>
      </c>
      <c r="O3" s="304" t="s">
        <v>53</v>
      </c>
    </row>
    <row r="4" spans="1:20" x14ac:dyDescent="0.25">
      <c r="A4" s="301"/>
      <c r="B4" s="301" t="s">
        <v>121</v>
      </c>
      <c r="C4" s="301"/>
      <c r="D4" s="343">
        <f>+K4</f>
        <v>211.0497191011236</v>
      </c>
      <c r="E4" s="303" t="s">
        <v>71</v>
      </c>
      <c r="F4" s="320">
        <f>+N4</f>
        <v>0.65</v>
      </c>
      <c r="G4" s="320">
        <f>D4*F4</f>
        <v>137.18231741573035</v>
      </c>
      <c r="J4" s="313">
        <v>145</v>
      </c>
      <c r="K4" s="304">
        <f>+('Wheat Graze Out'!M4+'Wheat Graze Out'!M5)*'Fescue Established'!Q20</f>
        <v>211.0497191011236</v>
      </c>
      <c r="M4" s="313"/>
      <c r="N4" s="336">
        <f>+'Wheat Dual ~800Lb'!N4</f>
        <v>0.65</v>
      </c>
      <c r="O4" s="313">
        <f>+N4*K4</f>
        <v>137.18231741573035</v>
      </c>
      <c r="T4" s="304">
        <f>+K4*J4</f>
        <v>30602.209269662922</v>
      </c>
    </row>
    <row r="5" spans="1:20" x14ac:dyDescent="0.25">
      <c r="A5" s="301"/>
      <c r="B5" s="301"/>
      <c r="C5" s="301"/>
      <c r="D5" s="343">
        <f>+M5</f>
        <v>0</v>
      </c>
      <c r="E5" s="303" t="s">
        <v>71</v>
      </c>
      <c r="F5" s="320">
        <f>+N5</f>
        <v>0</v>
      </c>
      <c r="G5" s="320">
        <f>D5*F5</f>
        <v>0</v>
      </c>
      <c r="J5" s="313"/>
      <c r="M5" s="313"/>
      <c r="N5" s="336"/>
      <c r="O5" s="313"/>
      <c r="T5" s="304">
        <f>+K5*J5</f>
        <v>0</v>
      </c>
    </row>
    <row r="6" spans="1:20" ht="15.75" thickBot="1" x14ac:dyDescent="0.3">
      <c r="A6" s="301"/>
      <c r="B6" s="301" t="s">
        <v>7</v>
      </c>
      <c r="C6" s="301"/>
      <c r="D6" s="301">
        <v>1</v>
      </c>
      <c r="E6" s="303" t="s">
        <v>8</v>
      </c>
      <c r="F6" s="320">
        <v>0</v>
      </c>
      <c r="G6" s="327">
        <f>D6*F6</f>
        <v>0</v>
      </c>
      <c r="T6" s="304">
        <f>+T5+T4</f>
        <v>30602.209269662922</v>
      </c>
    </row>
    <row r="7" spans="1:20" ht="15.75" thickTop="1" x14ac:dyDescent="0.25">
      <c r="A7" s="316" t="s">
        <v>9</v>
      </c>
      <c r="B7" s="316"/>
      <c r="C7" s="316"/>
      <c r="D7" s="316"/>
      <c r="E7" s="316"/>
      <c r="F7" s="316"/>
      <c r="G7" s="317">
        <f>SUM(G3:G6)</f>
        <v>137.18231741573035</v>
      </c>
      <c r="L7" s="304">
        <f>557/746</f>
        <v>0.7466487935656837</v>
      </c>
      <c r="T7" s="304">
        <f>+T6/(J5+J4)</f>
        <v>211.0497191011236</v>
      </c>
    </row>
    <row r="8" spans="1:20" x14ac:dyDescent="0.25">
      <c r="A8" s="305" t="s">
        <v>10</v>
      </c>
      <c r="B8" s="305"/>
      <c r="C8" s="305"/>
      <c r="D8" s="305" t="s">
        <v>1</v>
      </c>
      <c r="E8" s="305" t="s">
        <v>2</v>
      </c>
      <c r="F8" s="305" t="s">
        <v>3</v>
      </c>
      <c r="G8" s="305" t="s">
        <v>4</v>
      </c>
    </row>
    <row r="9" spans="1:20" x14ac:dyDescent="0.25">
      <c r="A9" s="301" t="s">
        <v>11</v>
      </c>
      <c r="B9" s="301"/>
      <c r="C9" s="301"/>
      <c r="D9" s="301"/>
      <c r="E9" s="301"/>
      <c r="F9" s="301"/>
      <c r="G9" s="301"/>
    </row>
    <row r="10" spans="1:20" x14ac:dyDescent="0.25">
      <c r="A10" s="301"/>
      <c r="B10" s="301" t="s">
        <v>12</v>
      </c>
      <c r="C10" s="301"/>
      <c r="D10" s="301">
        <v>1</v>
      </c>
      <c r="E10" s="303" t="s">
        <v>8</v>
      </c>
      <c r="F10" s="319"/>
      <c r="G10" s="320">
        <f>D10*F10</f>
        <v>0</v>
      </c>
    </row>
    <row r="11" spans="1:20" x14ac:dyDescent="0.25">
      <c r="A11" s="301"/>
      <c r="B11" s="301" t="s">
        <v>13</v>
      </c>
      <c r="C11" s="301"/>
      <c r="D11" s="300">
        <v>1</v>
      </c>
      <c r="E11" s="339" t="s">
        <v>8</v>
      </c>
      <c r="F11" s="31">
        <f>0.2/0.43*50</f>
        <v>23.255813953488374</v>
      </c>
      <c r="G11" s="320">
        <f t="shared" ref="G11:G20" si="0">D11*F11</f>
        <v>23.255813953488374</v>
      </c>
      <c r="M11" s="304">
        <v>145</v>
      </c>
      <c r="N11" s="304">
        <v>1.8</v>
      </c>
      <c r="O11" s="304">
        <v>0.8</v>
      </c>
      <c r="P11" s="304">
        <f>+O11*N11*M11</f>
        <v>208.8</v>
      </c>
    </row>
    <row r="12" spans="1:20" x14ac:dyDescent="0.25">
      <c r="A12" s="301"/>
      <c r="B12" s="301" t="s">
        <v>14</v>
      </c>
      <c r="C12" s="301"/>
      <c r="D12" s="300">
        <v>1</v>
      </c>
      <c r="E12" s="339" t="s">
        <v>8</v>
      </c>
      <c r="F12" s="31">
        <f>3.85+3.85+4.5</f>
        <v>12.2</v>
      </c>
      <c r="G12" s="320">
        <f t="shared" si="0"/>
        <v>12.2</v>
      </c>
      <c r="K12" s="346">
        <v>44127</v>
      </c>
      <c r="P12" s="304">
        <f>+N11*M11</f>
        <v>261</v>
      </c>
    </row>
    <row r="13" spans="1:20" x14ac:dyDescent="0.25">
      <c r="A13" s="301"/>
      <c r="B13" s="301" t="s">
        <v>15</v>
      </c>
      <c r="C13" s="301"/>
      <c r="D13" s="300">
        <v>1</v>
      </c>
      <c r="E13" s="339" t="s">
        <v>8</v>
      </c>
      <c r="F13" s="31">
        <f>+'Wheat Dual ~800Lb'!F13</f>
        <v>0</v>
      </c>
      <c r="G13" s="320">
        <f t="shared" si="0"/>
        <v>0</v>
      </c>
      <c r="K13" s="346">
        <v>44338</v>
      </c>
      <c r="N13" s="304">
        <f>327/145</f>
        <v>2.2551724137931033</v>
      </c>
    </row>
    <row r="14" spans="1:20" x14ac:dyDescent="0.25">
      <c r="A14" s="301"/>
      <c r="B14" s="301" t="s">
        <v>16</v>
      </c>
      <c r="C14" s="301"/>
      <c r="D14" s="300">
        <v>1</v>
      </c>
      <c r="E14" s="339" t="s">
        <v>8</v>
      </c>
      <c r="F14" s="31">
        <v>0</v>
      </c>
      <c r="G14" s="320">
        <f t="shared" si="0"/>
        <v>0</v>
      </c>
      <c r="K14" s="347">
        <f>+K13-K12</f>
        <v>211</v>
      </c>
    </row>
    <row r="15" spans="1:20" x14ac:dyDescent="0.25">
      <c r="A15" s="301"/>
      <c r="B15" s="301" t="s">
        <v>17</v>
      </c>
      <c r="C15" s="301"/>
      <c r="D15" s="299">
        <v>0</v>
      </c>
      <c r="E15" s="339" t="s">
        <v>18</v>
      </c>
      <c r="F15" s="31">
        <v>0</v>
      </c>
      <c r="G15" s="320">
        <f>D15*F15</f>
        <v>0</v>
      </c>
    </row>
    <row r="16" spans="1:20" x14ac:dyDescent="0.25">
      <c r="A16" s="301"/>
      <c r="B16" s="301" t="s">
        <v>19</v>
      </c>
      <c r="C16" s="301"/>
      <c r="D16" s="332">
        <v>0.1</v>
      </c>
      <c r="E16" s="339" t="s">
        <v>20</v>
      </c>
      <c r="F16" s="31">
        <v>0</v>
      </c>
      <c r="G16" s="320">
        <f t="shared" si="0"/>
        <v>0</v>
      </c>
    </row>
    <row r="17" spans="1:17" x14ac:dyDescent="0.25">
      <c r="A17" s="301"/>
      <c r="B17" s="301" t="s">
        <v>50</v>
      </c>
      <c r="C17" s="301"/>
      <c r="D17" s="300">
        <v>1</v>
      </c>
      <c r="E17" s="339" t="s">
        <v>8</v>
      </c>
      <c r="F17" s="31">
        <v>0</v>
      </c>
      <c r="G17" s="320">
        <f t="shared" si="0"/>
        <v>0</v>
      </c>
    </row>
    <row r="18" spans="1:17" x14ac:dyDescent="0.25">
      <c r="A18" s="301"/>
      <c r="B18" s="301" t="s">
        <v>22</v>
      </c>
      <c r="C18" s="301"/>
      <c r="D18" s="299">
        <v>0</v>
      </c>
      <c r="E18" s="339" t="s">
        <v>23</v>
      </c>
      <c r="F18" s="31">
        <v>0</v>
      </c>
      <c r="G18" s="320">
        <f t="shared" si="0"/>
        <v>0</v>
      </c>
    </row>
    <row r="19" spans="1:17" x14ac:dyDescent="0.25">
      <c r="A19" s="301"/>
      <c r="B19" s="301" t="s">
        <v>24</v>
      </c>
      <c r="C19" s="301"/>
      <c r="D19" s="300">
        <v>1</v>
      </c>
      <c r="E19" s="339" t="s">
        <v>8</v>
      </c>
      <c r="F19" s="31">
        <f>+'Wheat Dual ~800Lb'!F19</f>
        <v>0</v>
      </c>
      <c r="G19" s="320">
        <f t="shared" si="0"/>
        <v>0</v>
      </c>
      <c r="O19" s="304" t="s">
        <v>131</v>
      </c>
      <c r="P19" s="304" t="s">
        <v>132</v>
      </c>
    </row>
    <row r="20" spans="1:17" x14ac:dyDescent="0.25">
      <c r="A20" s="301"/>
      <c r="B20" s="301" t="s">
        <v>25</v>
      </c>
      <c r="C20" s="301"/>
      <c r="D20" s="300">
        <v>1</v>
      </c>
      <c r="E20" s="339" t="s">
        <v>8</v>
      </c>
      <c r="F20" s="31">
        <f>5.5*2</f>
        <v>11</v>
      </c>
      <c r="G20" s="320">
        <f t="shared" si="0"/>
        <v>11</v>
      </c>
      <c r="O20" s="304">
        <v>327</v>
      </c>
      <c r="P20" s="304">
        <v>356</v>
      </c>
      <c r="Q20" s="304">
        <f>+O20/P20</f>
        <v>0.9185393258426966</v>
      </c>
    </row>
    <row r="21" spans="1:17" ht="15.75" thickBot="1" x14ac:dyDescent="0.3">
      <c r="A21" s="301"/>
      <c r="B21" s="301" t="s">
        <v>26</v>
      </c>
      <c r="C21" s="301"/>
      <c r="D21" s="301"/>
      <c r="E21" s="301"/>
      <c r="F21" s="321">
        <f>+Assumptions!F35</f>
        <v>7.4999999999999997E-2</v>
      </c>
      <c r="G21" s="322">
        <f>+SUM(G10:G20)*F21/12*6</f>
        <v>1.7420930232558138</v>
      </c>
      <c r="I21" s="323"/>
    </row>
    <row r="22" spans="1:17" x14ac:dyDescent="0.25">
      <c r="A22" s="301"/>
      <c r="B22" s="301"/>
      <c r="C22" s="301"/>
      <c r="D22" s="301"/>
      <c r="E22" s="301"/>
      <c r="F22" s="301"/>
      <c r="G22" s="320">
        <f>SUM(G10:G21)</f>
        <v>48.197906976744186</v>
      </c>
    </row>
    <row r="23" spans="1:17" x14ac:dyDescent="0.25">
      <c r="A23" s="301" t="s">
        <v>27</v>
      </c>
      <c r="B23" s="301"/>
      <c r="C23" s="301"/>
      <c r="D23" s="301"/>
      <c r="E23" s="301"/>
      <c r="F23" s="301"/>
      <c r="G23" s="301"/>
    </row>
    <row r="24" spans="1:17" x14ac:dyDescent="0.25">
      <c r="A24" s="301"/>
      <c r="B24" s="301" t="s">
        <v>28</v>
      </c>
      <c r="C24" s="301"/>
      <c r="D24" s="301">
        <v>1</v>
      </c>
      <c r="E24" s="301" t="s">
        <v>8</v>
      </c>
      <c r="F24" s="31">
        <v>0</v>
      </c>
      <c r="G24" s="320">
        <f>+D24*F24</f>
        <v>0</v>
      </c>
    </row>
    <row r="25" spans="1:17" x14ac:dyDescent="0.25">
      <c r="A25" s="301"/>
      <c r="B25" s="301" t="s">
        <v>29</v>
      </c>
      <c r="C25" s="301"/>
      <c r="D25" s="301"/>
      <c r="E25" s="301"/>
      <c r="F25" s="324"/>
      <c r="G25" s="301"/>
    </row>
    <row r="26" spans="1:17" ht="15.75" thickBot="1" x14ac:dyDescent="0.3">
      <c r="A26" s="301"/>
      <c r="B26" s="301"/>
      <c r="C26" s="301" t="s">
        <v>30</v>
      </c>
      <c r="D26" s="301">
        <v>1</v>
      </c>
      <c r="E26" s="301" t="s">
        <v>8</v>
      </c>
      <c r="F26" s="31">
        <v>0</v>
      </c>
      <c r="G26" s="322">
        <f>+D26*F26</f>
        <v>0</v>
      </c>
    </row>
    <row r="27" spans="1:17" ht="15.75" thickBot="1" x14ac:dyDescent="0.3">
      <c r="A27" s="301"/>
      <c r="B27" s="301"/>
      <c r="C27" s="301"/>
      <c r="D27" s="301" t="s">
        <v>31</v>
      </c>
      <c r="E27" s="301"/>
      <c r="F27" s="324"/>
      <c r="G27" s="325">
        <f>+G24+G26</f>
        <v>0</v>
      </c>
    </row>
    <row r="28" spans="1:17" ht="15.75" thickTop="1" x14ac:dyDescent="0.25">
      <c r="A28" s="301"/>
      <c r="B28" s="301"/>
      <c r="C28" s="301"/>
      <c r="D28" s="301"/>
      <c r="E28" s="301"/>
      <c r="F28" s="324"/>
      <c r="G28" s="301"/>
    </row>
    <row r="29" spans="1:17" ht="15.75" thickBot="1" x14ac:dyDescent="0.3">
      <c r="A29" s="301" t="s">
        <v>32</v>
      </c>
      <c r="B29" s="301"/>
      <c r="C29" s="301"/>
      <c r="D29" s="301">
        <v>1</v>
      </c>
      <c r="E29" s="301" t="s">
        <v>8</v>
      </c>
      <c r="F29" s="31">
        <v>0</v>
      </c>
      <c r="G29" s="326">
        <f>+D29*F29</f>
        <v>0</v>
      </c>
    </row>
    <row r="30" spans="1:17" ht="15.75" thickTop="1" x14ac:dyDescent="0.25">
      <c r="A30" s="301"/>
      <c r="B30" s="301"/>
      <c r="C30" s="301"/>
      <c r="D30" s="301"/>
      <c r="E30" s="301"/>
      <c r="F30" s="301"/>
      <c r="G30" s="301"/>
    </row>
    <row r="31" spans="1:17" ht="15.75" thickBot="1" x14ac:dyDescent="0.3">
      <c r="A31" s="301" t="s">
        <v>33</v>
      </c>
      <c r="B31" s="301"/>
      <c r="C31" s="301"/>
      <c r="D31" s="301"/>
      <c r="E31" s="301"/>
      <c r="F31" s="301"/>
      <c r="G31" s="327">
        <f>+G22+G27+G29</f>
        <v>48.197906976744186</v>
      </c>
    </row>
    <row r="32" spans="1:17" ht="15.75" thickTop="1" x14ac:dyDescent="0.25">
      <c r="A32" s="301"/>
      <c r="B32" s="301"/>
      <c r="C32" s="301"/>
      <c r="D32" s="301"/>
      <c r="E32" s="301"/>
      <c r="F32" s="301"/>
      <c r="G32" s="301"/>
    </row>
    <row r="33" spans="1:7" x14ac:dyDescent="0.25">
      <c r="A33" s="301" t="s">
        <v>34</v>
      </c>
      <c r="B33" s="301"/>
      <c r="C33" s="301"/>
      <c r="D33" s="301"/>
      <c r="E33" s="301"/>
      <c r="F33" s="301"/>
      <c r="G33" s="320">
        <f>+G7-G31</f>
        <v>88.984410438986174</v>
      </c>
    </row>
    <row r="34" spans="1:7" x14ac:dyDescent="0.25">
      <c r="A34" s="301"/>
      <c r="B34" s="301" t="s">
        <v>35</v>
      </c>
      <c r="C34" s="301"/>
      <c r="D34" s="301"/>
      <c r="E34" s="301" t="s">
        <v>6</v>
      </c>
      <c r="F34" s="328" t="str">
        <f>IF(D3=0,"n/a",(G31-G4-G5-G6)/D3)</f>
        <v>n/a</v>
      </c>
      <c r="G34" s="301"/>
    </row>
    <row r="35" spans="1:7" x14ac:dyDescent="0.25">
      <c r="A35" s="301"/>
      <c r="B35" s="301"/>
      <c r="C35" s="301"/>
      <c r="D35" s="301"/>
      <c r="E35" s="301"/>
      <c r="F35" s="301"/>
      <c r="G35" s="301"/>
    </row>
    <row r="36" spans="1:7" x14ac:dyDescent="0.25">
      <c r="A36" s="305" t="s">
        <v>36</v>
      </c>
      <c r="B36" s="305"/>
      <c r="C36" s="305"/>
      <c r="D36" s="305" t="s">
        <v>1</v>
      </c>
      <c r="E36" s="305" t="s">
        <v>2</v>
      </c>
      <c r="F36" s="305" t="s">
        <v>3</v>
      </c>
      <c r="G36" s="305" t="s">
        <v>4</v>
      </c>
    </row>
    <row r="37" spans="1:7" x14ac:dyDescent="0.25">
      <c r="A37" s="301"/>
      <c r="B37" s="301" t="s">
        <v>37</v>
      </c>
      <c r="C37" s="301"/>
      <c r="D37" s="301">
        <v>1</v>
      </c>
      <c r="E37" s="301" t="s">
        <v>8</v>
      </c>
      <c r="F37" s="31">
        <v>0</v>
      </c>
      <c r="G37" s="320">
        <f>D37*F37</f>
        <v>0</v>
      </c>
    </row>
    <row r="38" spans="1:7" x14ac:dyDescent="0.25">
      <c r="A38" s="301"/>
      <c r="B38" s="301" t="s">
        <v>38</v>
      </c>
      <c r="C38" s="301"/>
      <c r="D38" s="301">
        <v>1</v>
      </c>
      <c r="E38" s="301" t="s">
        <v>8</v>
      </c>
      <c r="F38" s="31">
        <v>0</v>
      </c>
      <c r="G38" s="320">
        <f t="shared" ref="G38:G45" si="1">D38*F38</f>
        <v>0</v>
      </c>
    </row>
    <row r="39" spans="1:7" x14ac:dyDescent="0.25">
      <c r="A39" s="301"/>
      <c r="B39" s="301" t="s">
        <v>39</v>
      </c>
      <c r="C39" s="301"/>
      <c r="D39" s="301">
        <v>1</v>
      </c>
      <c r="E39" s="301" t="s">
        <v>8</v>
      </c>
      <c r="F39" s="31">
        <v>0</v>
      </c>
      <c r="G39" s="320">
        <f t="shared" si="1"/>
        <v>0</v>
      </c>
    </row>
    <row r="40" spans="1:7" x14ac:dyDescent="0.25">
      <c r="A40" s="301"/>
      <c r="B40" s="301" t="s">
        <v>40</v>
      </c>
      <c r="C40" s="301"/>
      <c r="D40" s="301">
        <v>1</v>
      </c>
      <c r="E40" s="301" t="s">
        <v>8</v>
      </c>
      <c r="F40" s="31">
        <v>30</v>
      </c>
      <c r="G40" s="320">
        <f t="shared" si="1"/>
        <v>30</v>
      </c>
    </row>
    <row r="41" spans="1:7" x14ac:dyDescent="0.25">
      <c r="A41" s="301"/>
      <c r="B41" s="301" t="s">
        <v>41</v>
      </c>
      <c r="C41" s="301"/>
      <c r="D41" s="301">
        <v>1</v>
      </c>
      <c r="E41" s="301" t="s">
        <v>8</v>
      </c>
      <c r="F41" s="31">
        <v>0</v>
      </c>
      <c r="G41" s="320">
        <f t="shared" si="1"/>
        <v>0</v>
      </c>
    </row>
    <row r="42" spans="1:7" x14ac:dyDescent="0.25">
      <c r="A42" s="301"/>
      <c r="B42" s="301" t="s">
        <v>111</v>
      </c>
      <c r="C42" s="301"/>
      <c r="D42" s="301">
        <v>1</v>
      </c>
      <c r="E42" s="301" t="s">
        <v>8</v>
      </c>
      <c r="F42" s="31">
        <v>0</v>
      </c>
      <c r="G42" s="320">
        <f t="shared" si="1"/>
        <v>0</v>
      </c>
    </row>
    <row r="43" spans="1:7" x14ac:dyDescent="0.25">
      <c r="A43" s="301"/>
      <c r="B43" s="307" t="s">
        <v>123</v>
      </c>
      <c r="C43" s="307"/>
      <c r="D43" s="307">
        <v>1</v>
      </c>
      <c r="E43" s="307" t="s">
        <v>8</v>
      </c>
      <c r="F43" s="311">
        <f>+('Fescue Imp'!G51*(-1)+('Grazing + Stockers'!G19))/4</f>
        <v>53.122156250000003</v>
      </c>
      <c r="G43" s="320">
        <f t="shared" si="1"/>
        <v>53.122156250000003</v>
      </c>
    </row>
    <row r="44" spans="1:7" x14ac:dyDescent="0.25">
      <c r="A44" s="301"/>
      <c r="B44" s="28" t="s">
        <v>43</v>
      </c>
      <c r="C44" s="28"/>
      <c r="D44" s="28">
        <v>1</v>
      </c>
      <c r="E44" s="28" t="s">
        <v>8</v>
      </c>
      <c r="F44" s="31">
        <v>0</v>
      </c>
      <c r="G44" s="320">
        <f t="shared" si="1"/>
        <v>0</v>
      </c>
    </row>
    <row r="45" spans="1:7" ht="15.75" thickBot="1" x14ac:dyDescent="0.3">
      <c r="A45" s="301"/>
      <c r="B45" s="28" t="s">
        <v>43</v>
      </c>
      <c r="C45" s="28"/>
      <c r="D45" s="28">
        <v>1</v>
      </c>
      <c r="E45" s="28" t="s">
        <v>8</v>
      </c>
      <c r="F45" s="31">
        <v>0</v>
      </c>
      <c r="G45" s="327">
        <f t="shared" si="1"/>
        <v>0</v>
      </c>
    </row>
    <row r="46" spans="1:7" ht="15.75" thickTop="1" x14ac:dyDescent="0.25">
      <c r="A46" s="301"/>
      <c r="B46" s="301"/>
      <c r="C46" s="301"/>
      <c r="D46" s="301"/>
      <c r="E46" s="301"/>
      <c r="F46" s="301"/>
      <c r="G46" s="301"/>
    </row>
    <row r="47" spans="1:7" ht="15.75" thickBot="1" x14ac:dyDescent="0.3">
      <c r="A47" s="301" t="s">
        <v>44</v>
      </c>
      <c r="B47" s="301"/>
      <c r="C47" s="301"/>
      <c r="D47" s="301"/>
      <c r="E47" s="301"/>
      <c r="F47" s="301"/>
      <c r="G47" s="327">
        <f>SUM(G37:G45)</f>
        <v>83.122156250000003</v>
      </c>
    </row>
    <row r="48" spans="1:7" ht="15.75" thickTop="1" x14ac:dyDescent="0.25">
      <c r="A48" s="301"/>
      <c r="B48" s="301"/>
      <c r="C48" s="301"/>
      <c r="D48" s="301"/>
      <c r="E48" s="301"/>
      <c r="F48" s="301"/>
      <c r="G48" s="301"/>
    </row>
    <row r="49" spans="1:7" ht="15.75" thickBot="1" x14ac:dyDescent="0.3">
      <c r="A49" s="301" t="s">
        <v>45</v>
      </c>
      <c r="B49" s="301"/>
      <c r="C49" s="301"/>
      <c r="D49" s="301"/>
      <c r="E49" s="301"/>
      <c r="F49" s="301"/>
      <c r="G49" s="327">
        <f>+G31+G47</f>
        <v>131.3200632267442</v>
      </c>
    </row>
    <row r="50" spans="1:7" ht="15.75" thickTop="1" x14ac:dyDescent="0.25">
      <c r="A50" s="301"/>
      <c r="B50" s="301"/>
      <c r="C50" s="301"/>
      <c r="D50" s="301"/>
      <c r="E50" s="301"/>
      <c r="F50" s="301"/>
      <c r="G50" s="301"/>
    </row>
    <row r="51" spans="1:7" x14ac:dyDescent="0.25">
      <c r="A51" s="301" t="s">
        <v>46</v>
      </c>
      <c r="B51" s="301"/>
      <c r="C51" s="301"/>
      <c r="D51" s="301"/>
      <c r="E51" s="301"/>
      <c r="F51" s="301"/>
      <c r="G51" s="320">
        <f>+G7-G49</f>
        <v>5.8622541889861566</v>
      </c>
    </row>
    <row r="52" spans="1:7" ht="15.75" thickBot="1" x14ac:dyDescent="0.3">
      <c r="A52" s="330" t="s">
        <v>47</v>
      </c>
      <c r="B52" s="330"/>
      <c r="C52" s="330"/>
      <c r="D52" s="330"/>
      <c r="E52" s="330" t="s">
        <v>6</v>
      </c>
      <c r="F52" s="331" t="str">
        <f>IF(D3=0,"n/a",(G49-G4-G5-G6)/D3)</f>
        <v>n/a</v>
      </c>
      <c r="G52" s="330"/>
    </row>
    <row r="53" spans="1:7" ht="15.75" thickTop="1" x14ac:dyDescent="0.25"/>
  </sheetData>
  <sheetProtection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A750A-83ED-4594-9ADC-8A98E629AF97}">
  <dimension ref="A1:Q53"/>
  <sheetViews>
    <sheetView workbookViewId="0">
      <selection activeCell="H36" sqref="H36"/>
    </sheetView>
  </sheetViews>
  <sheetFormatPr defaultRowHeight="15" x14ac:dyDescent="0.25"/>
  <cols>
    <col min="1" max="2" width="3" style="304" customWidth="1"/>
    <col min="3" max="3" width="27.140625" style="304" customWidth="1"/>
    <col min="4" max="7" width="10.140625" style="304" customWidth="1"/>
    <col min="8" max="9" width="8.85546875" style="304"/>
    <col min="10" max="11" width="0" style="304" hidden="1" customWidth="1"/>
    <col min="12" max="12" width="10" style="304" hidden="1" customWidth="1"/>
    <col min="13" max="19" width="0" style="304" hidden="1" customWidth="1"/>
    <col min="20" max="255" width="8.85546875" style="304"/>
    <col min="256" max="257" width="3" style="304" customWidth="1"/>
    <col min="258" max="258" width="27.140625" style="304" customWidth="1"/>
    <col min="259" max="263" width="10.140625" style="304" customWidth="1"/>
    <col min="264" max="511" width="8.85546875" style="304"/>
    <col min="512" max="513" width="3" style="304" customWidth="1"/>
    <col min="514" max="514" width="27.140625" style="304" customWidth="1"/>
    <col min="515" max="519" width="10.140625" style="304" customWidth="1"/>
    <col min="520" max="767" width="8.85546875" style="304"/>
    <col min="768" max="769" width="3" style="304" customWidth="1"/>
    <col min="770" max="770" width="27.140625" style="304" customWidth="1"/>
    <col min="771" max="775" width="10.140625" style="304" customWidth="1"/>
    <col min="776" max="1023" width="8.85546875" style="304"/>
    <col min="1024" max="1025" width="3" style="304" customWidth="1"/>
    <col min="1026" max="1026" width="27.140625" style="304" customWidth="1"/>
    <col min="1027" max="1031" width="10.140625" style="304" customWidth="1"/>
    <col min="1032" max="1279" width="8.85546875" style="304"/>
    <col min="1280" max="1281" width="3" style="304" customWidth="1"/>
    <col min="1282" max="1282" width="27.140625" style="304" customWidth="1"/>
    <col min="1283" max="1287" width="10.140625" style="304" customWidth="1"/>
    <col min="1288" max="1535" width="8.85546875" style="304"/>
    <col min="1536" max="1537" width="3" style="304" customWidth="1"/>
    <col min="1538" max="1538" width="27.140625" style="304" customWidth="1"/>
    <col min="1539" max="1543" width="10.140625" style="304" customWidth="1"/>
    <col min="1544" max="1791" width="8.85546875" style="304"/>
    <col min="1792" max="1793" width="3" style="304" customWidth="1"/>
    <col min="1794" max="1794" width="27.140625" style="304" customWidth="1"/>
    <col min="1795" max="1799" width="10.140625" style="304" customWidth="1"/>
    <col min="1800" max="2047" width="8.85546875" style="304"/>
    <col min="2048" max="2049" width="3" style="304" customWidth="1"/>
    <col min="2050" max="2050" width="27.140625" style="304" customWidth="1"/>
    <col min="2051" max="2055" width="10.140625" style="304" customWidth="1"/>
    <col min="2056" max="2303" width="8.85546875" style="304"/>
    <col min="2304" max="2305" width="3" style="304" customWidth="1"/>
    <col min="2306" max="2306" width="27.140625" style="304" customWidth="1"/>
    <col min="2307" max="2311" width="10.140625" style="304" customWidth="1"/>
    <col min="2312" max="2559" width="8.85546875" style="304"/>
    <col min="2560" max="2561" width="3" style="304" customWidth="1"/>
    <col min="2562" max="2562" width="27.140625" style="304" customWidth="1"/>
    <col min="2563" max="2567" width="10.140625" style="304" customWidth="1"/>
    <col min="2568" max="2815" width="8.85546875" style="304"/>
    <col min="2816" max="2817" width="3" style="304" customWidth="1"/>
    <col min="2818" max="2818" width="27.140625" style="304" customWidth="1"/>
    <col min="2819" max="2823" width="10.140625" style="304" customWidth="1"/>
    <col min="2824" max="3071" width="8.85546875" style="304"/>
    <col min="3072" max="3073" width="3" style="304" customWidth="1"/>
    <col min="3074" max="3074" width="27.140625" style="304" customWidth="1"/>
    <col min="3075" max="3079" width="10.140625" style="304" customWidth="1"/>
    <col min="3080" max="3327" width="8.85546875" style="304"/>
    <col min="3328" max="3329" width="3" style="304" customWidth="1"/>
    <col min="3330" max="3330" width="27.140625" style="304" customWidth="1"/>
    <col min="3331" max="3335" width="10.140625" style="304" customWidth="1"/>
    <col min="3336" max="3583" width="8.85546875" style="304"/>
    <col min="3584" max="3585" width="3" style="304" customWidth="1"/>
    <col min="3586" max="3586" width="27.140625" style="304" customWidth="1"/>
    <col min="3587" max="3591" width="10.140625" style="304" customWidth="1"/>
    <col min="3592" max="3839" width="8.85546875" style="304"/>
    <col min="3840" max="3841" width="3" style="304" customWidth="1"/>
    <col min="3842" max="3842" width="27.140625" style="304" customWidth="1"/>
    <col min="3843" max="3847" width="10.140625" style="304" customWidth="1"/>
    <col min="3848" max="4095" width="8.85546875" style="304"/>
    <col min="4096" max="4097" width="3" style="304" customWidth="1"/>
    <col min="4098" max="4098" width="27.140625" style="304" customWidth="1"/>
    <col min="4099" max="4103" width="10.140625" style="304" customWidth="1"/>
    <col min="4104" max="4351" width="8.85546875" style="304"/>
    <col min="4352" max="4353" width="3" style="304" customWidth="1"/>
    <col min="4354" max="4354" width="27.140625" style="304" customWidth="1"/>
    <col min="4355" max="4359" width="10.140625" style="304" customWidth="1"/>
    <col min="4360" max="4607" width="8.85546875" style="304"/>
    <col min="4608" max="4609" width="3" style="304" customWidth="1"/>
    <col min="4610" max="4610" width="27.140625" style="304" customWidth="1"/>
    <col min="4611" max="4615" width="10.140625" style="304" customWidth="1"/>
    <col min="4616" max="4863" width="8.85546875" style="304"/>
    <col min="4864" max="4865" width="3" style="304" customWidth="1"/>
    <col min="4866" max="4866" width="27.140625" style="304" customWidth="1"/>
    <col min="4867" max="4871" width="10.140625" style="304" customWidth="1"/>
    <col min="4872" max="5119" width="8.85546875" style="304"/>
    <col min="5120" max="5121" width="3" style="304" customWidth="1"/>
    <col min="5122" max="5122" width="27.140625" style="304" customWidth="1"/>
    <col min="5123" max="5127" width="10.140625" style="304" customWidth="1"/>
    <col min="5128" max="5375" width="8.85546875" style="304"/>
    <col min="5376" max="5377" width="3" style="304" customWidth="1"/>
    <col min="5378" max="5378" width="27.140625" style="304" customWidth="1"/>
    <col min="5379" max="5383" width="10.140625" style="304" customWidth="1"/>
    <col min="5384" max="5631" width="8.85546875" style="304"/>
    <col min="5632" max="5633" width="3" style="304" customWidth="1"/>
    <col min="5634" max="5634" width="27.140625" style="304" customWidth="1"/>
    <col min="5635" max="5639" width="10.140625" style="304" customWidth="1"/>
    <col min="5640" max="5887" width="8.85546875" style="304"/>
    <col min="5888" max="5889" width="3" style="304" customWidth="1"/>
    <col min="5890" max="5890" width="27.140625" style="304" customWidth="1"/>
    <col min="5891" max="5895" width="10.140625" style="304" customWidth="1"/>
    <col min="5896" max="6143" width="8.85546875" style="304"/>
    <col min="6144" max="6145" width="3" style="304" customWidth="1"/>
    <col min="6146" max="6146" width="27.140625" style="304" customWidth="1"/>
    <col min="6147" max="6151" width="10.140625" style="304" customWidth="1"/>
    <col min="6152" max="6399" width="8.85546875" style="304"/>
    <col min="6400" max="6401" width="3" style="304" customWidth="1"/>
    <col min="6402" max="6402" width="27.140625" style="304" customWidth="1"/>
    <col min="6403" max="6407" width="10.140625" style="304" customWidth="1"/>
    <col min="6408" max="6655" width="8.85546875" style="304"/>
    <col min="6656" max="6657" width="3" style="304" customWidth="1"/>
    <col min="6658" max="6658" width="27.140625" style="304" customWidth="1"/>
    <col min="6659" max="6663" width="10.140625" style="304" customWidth="1"/>
    <col min="6664" max="6911" width="8.85546875" style="304"/>
    <col min="6912" max="6913" width="3" style="304" customWidth="1"/>
    <col min="6914" max="6914" width="27.140625" style="304" customWidth="1"/>
    <col min="6915" max="6919" width="10.140625" style="304" customWidth="1"/>
    <col min="6920" max="7167" width="8.85546875" style="304"/>
    <col min="7168" max="7169" width="3" style="304" customWidth="1"/>
    <col min="7170" max="7170" width="27.140625" style="304" customWidth="1"/>
    <col min="7171" max="7175" width="10.140625" style="304" customWidth="1"/>
    <col min="7176" max="7423" width="8.85546875" style="304"/>
    <col min="7424" max="7425" width="3" style="304" customWidth="1"/>
    <col min="7426" max="7426" width="27.140625" style="304" customWidth="1"/>
    <col min="7427" max="7431" width="10.140625" style="304" customWidth="1"/>
    <col min="7432" max="7679" width="8.85546875" style="304"/>
    <col min="7680" max="7681" width="3" style="304" customWidth="1"/>
    <col min="7682" max="7682" width="27.140625" style="304" customWidth="1"/>
    <col min="7683" max="7687" width="10.140625" style="304" customWidth="1"/>
    <col min="7688" max="7935" width="8.85546875" style="304"/>
    <col min="7936" max="7937" width="3" style="304" customWidth="1"/>
    <col min="7938" max="7938" width="27.140625" style="304" customWidth="1"/>
    <col min="7939" max="7943" width="10.140625" style="304" customWidth="1"/>
    <col min="7944" max="8191" width="8.85546875" style="304"/>
    <col min="8192" max="8193" width="3" style="304" customWidth="1"/>
    <col min="8194" max="8194" width="27.140625" style="304" customWidth="1"/>
    <col min="8195" max="8199" width="10.140625" style="304" customWidth="1"/>
    <col min="8200" max="8447" width="8.85546875" style="304"/>
    <col min="8448" max="8449" width="3" style="304" customWidth="1"/>
    <col min="8450" max="8450" width="27.140625" style="304" customWidth="1"/>
    <col min="8451" max="8455" width="10.140625" style="304" customWidth="1"/>
    <col min="8456" max="8703" width="8.85546875" style="304"/>
    <col min="8704" max="8705" width="3" style="304" customWidth="1"/>
    <col min="8706" max="8706" width="27.140625" style="304" customWidth="1"/>
    <col min="8707" max="8711" width="10.140625" style="304" customWidth="1"/>
    <col min="8712" max="8959" width="8.85546875" style="304"/>
    <col min="8960" max="8961" width="3" style="304" customWidth="1"/>
    <col min="8962" max="8962" width="27.140625" style="304" customWidth="1"/>
    <col min="8963" max="8967" width="10.140625" style="304" customWidth="1"/>
    <col min="8968" max="9215" width="8.85546875" style="304"/>
    <col min="9216" max="9217" width="3" style="304" customWidth="1"/>
    <col min="9218" max="9218" width="27.140625" style="304" customWidth="1"/>
    <col min="9219" max="9223" width="10.140625" style="304" customWidth="1"/>
    <col min="9224" max="9471" width="8.85546875" style="304"/>
    <col min="9472" max="9473" width="3" style="304" customWidth="1"/>
    <col min="9474" max="9474" width="27.140625" style="304" customWidth="1"/>
    <col min="9475" max="9479" width="10.140625" style="304" customWidth="1"/>
    <col min="9480" max="9727" width="8.85546875" style="304"/>
    <col min="9728" max="9729" width="3" style="304" customWidth="1"/>
    <col min="9730" max="9730" width="27.140625" style="304" customWidth="1"/>
    <col min="9731" max="9735" width="10.140625" style="304" customWidth="1"/>
    <col min="9736" max="9983" width="8.85546875" style="304"/>
    <col min="9984" max="9985" width="3" style="304" customWidth="1"/>
    <col min="9986" max="9986" width="27.140625" style="304" customWidth="1"/>
    <col min="9987" max="9991" width="10.140625" style="304" customWidth="1"/>
    <col min="9992" max="10239" width="8.85546875" style="304"/>
    <col min="10240" max="10241" width="3" style="304" customWidth="1"/>
    <col min="10242" max="10242" width="27.140625" style="304" customWidth="1"/>
    <col min="10243" max="10247" width="10.140625" style="304" customWidth="1"/>
    <col min="10248" max="10495" width="8.85546875" style="304"/>
    <col min="10496" max="10497" width="3" style="304" customWidth="1"/>
    <col min="10498" max="10498" width="27.140625" style="304" customWidth="1"/>
    <col min="10499" max="10503" width="10.140625" style="304" customWidth="1"/>
    <col min="10504" max="10751" width="8.85546875" style="304"/>
    <col min="10752" max="10753" width="3" style="304" customWidth="1"/>
    <col min="10754" max="10754" width="27.140625" style="304" customWidth="1"/>
    <col min="10755" max="10759" width="10.140625" style="304" customWidth="1"/>
    <col min="10760" max="11007" width="8.85546875" style="304"/>
    <col min="11008" max="11009" width="3" style="304" customWidth="1"/>
    <col min="11010" max="11010" width="27.140625" style="304" customWidth="1"/>
    <col min="11011" max="11015" width="10.140625" style="304" customWidth="1"/>
    <col min="11016" max="11263" width="8.85546875" style="304"/>
    <col min="11264" max="11265" width="3" style="304" customWidth="1"/>
    <col min="11266" max="11266" width="27.140625" style="304" customWidth="1"/>
    <col min="11267" max="11271" width="10.140625" style="304" customWidth="1"/>
    <col min="11272" max="11519" width="8.85546875" style="304"/>
    <col min="11520" max="11521" width="3" style="304" customWidth="1"/>
    <col min="11522" max="11522" width="27.140625" style="304" customWidth="1"/>
    <col min="11523" max="11527" width="10.140625" style="304" customWidth="1"/>
    <col min="11528" max="11775" width="8.85546875" style="304"/>
    <col min="11776" max="11777" width="3" style="304" customWidth="1"/>
    <col min="11778" max="11778" width="27.140625" style="304" customWidth="1"/>
    <col min="11779" max="11783" width="10.140625" style="304" customWidth="1"/>
    <col min="11784" max="12031" width="8.85546875" style="304"/>
    <col min="12032" max="12033" width="3" style="304" customWidth="1"/>
    <col min="12034" max="12034" width="27.140625" style="304" customWidth="1"/>
    <col min="12035" max="12039" width="10.140625" style="304" customWidth="1"/>
    <col min="12040" max="12287" width="8.85546875" style="304"/>
    <col min="12288" max="12289" width="3" style="304" customWidth="1"/>
    <col min="12290" max="12290" width="27.140625" style="304" customWidth="1"/>
    <col min="12291" max="12295" width="10.140625" style="304" customWidth="1"/>
    <col min="12296" max="12543" width="8.85546875" style="304"/>
    <col min="12544" max="12545" width="3" style="304" customWidth="1"/>
    <col min="12546" max="12546" width="27.140625" style="304" customWidth="1"/>
    <col min="12547" max="12551" width="10.140625" style="304" customWidth="1"/>
    <col min="12552" max="12799" width="8.85546875" style="304"/>
    <col min="12800" max="12801" width="3" style="304" customWidth="1"/>
    <col min="12802" max="12802" width="27.140625" style="304" customWidth="1"/>
    <col min="12803" max="12807" width="10.140625" style="304" customWidth="1"/>
    <col min="12808" max="13055" width="8.85546875" style="304"/>
    <col min="13056" max="13057" width="3" style="304" customWidth="1"/>
    <col min="13058" max="13058" width="27.140625" style="304" customWidth="1"/>
    <col min="13059" max="13063" width="10.140625" style="304" customWidth="1"/>
    <col min="13064" max="13311" width="8.85546875" style="304"/>
    <col min="13312" max="13313" width="3" style="304" customWidth="1"/>
    <col min="13314" max="13314" width="27.140625" style="304" customWidth="1"/>
    <col min="13315" max="13319" width="10.140625" style="304" customWidth="1"/>
    <col min="13320" max="13567" width="8.85546875" style="304"/>
    <col min="13568" max="13569" width="3" style="304" customWidth="1"/>
    <col min="13570" max="13570" width="27.140625" style="304" customWidth="1"/>
    <col min="13571" max="13575" width="10.140625" style="304" customWidth="1"/>
    <col min="13576" max="13823" width="8.85546875" style="304"/>
    <col min="13824" max="13825" width="3" style="304" customWidth="1"/>
    <col min="13826" max="13826" width="27.140625" style="304" customWidth="1"/>
    <col min="13827" max="13831" width="10.140625" style="304" customWidth="1"/>
    <col min="13832" max="14079" width="8.85546875" style="304"/>
    <col min="14080" max="14081" width="3" style="304" customWidth="1"/>
    <col min="14082" max="14082" width="27.140625" style="304" customWidth="1"/>
    <col min="14083" max="14087" width="10.140625" style="304" customWidth="1"/>
    <col min="14088" max="14335" width="8.85546875" style="304"/>
    <col min="14336" max="14337" width="3" style="304" customWidth="1"/>
    <col min="14338" max="14338" width="27.140625" style="304" customWidth="1"/>
    <col min="14339" max="14343" width="10.140625" style="304" customWidth="1"/>
    <col min="14344" max="14591" width="8.85546875" style="304"/>
    <col min="14592" max="14593" width="3" style="304" customWidth="1"/>
    <col min="14594" max="14594" width="27.140625" style="304" customWidth="1"/>
    <col min="14595" max="14599" width="10.140625" style="304" customWidth="1"/>
    <col min="14600" max="14847" width="8.85546875" style="304"/>
    <col min="14848" max="14849" width="3" style="304" customWidth="1"/>
    <col min="14850" max="14850" width="27.140625" style="304" customWidth="1"/>
    <col min="14851" max="14855" width="10.140625" style="304" customWidth="1"/>
    <col min="14856" max="15103" width="8.85546875" style="304"/>
    <col min="15104" max="15105" width="3" style="304" customWidth="1"/>
    <col min="15106" max="15106" width="27.140625" style="304" customWidth="1"/>
    <col min="15107" max="15111" width="10.140625" style="304" customWidth="1"/>
    <col min="15112" max="15359" width="8.85546875" style="304"/>
    <col min="15360" max="15361" width="3" style="304" customWidth="1"/>
    <col min="15362" max="15362" width="27.140625" style="304" customWidth="1"/>
    <col min="15363" max="15367" width="10.140625" style="304" customWidth="1"/>
    <col min="15368" max="15615" width="8.85546875" style="304"/>
    <col min="15616" max="15617" width="3" style="304" customWidth="1"/>
    <col min="15618" max="15618" width="27.140625" style="304" customWidth="1"/>
    <col min="15619" max="15623" width="10.140625" style="304" customWidth="1"/>
    <col min="15624" max="15871" width="8.85546875" style="304"/>
    <col min="15872" max="15873" width="3" style="304" customWidth="1"/>
    <col min="15874" max="15874" width="27.140625" style="304" customWidth="1"/>
    <col min="15875" max="15879" width="10.140625" style="304" customWidth="1"/>
    <col min="15880" max="16127" width="8.85546875" style="304"/>
    <col min="16128" max="16129" width="3" style="304" customWidth="1"/>
    <col min="16130" max="16130" width="27.140625" style="304" customWidth="1"/>
    <col min="16131" max="16135" width="10.140625" style="304" customWidth="1"/>
    <col min="16136" max="16383" width="8.85546875" style="304"/>
    <col min="16384" max="16384" width="9.140625" style="304" customWidth="1"/>
  </cols>
  <sheetData>
    <row r="1" spans="1:17" x14ac:dyDescent="0.25">
      <c r="A1" s="301"/>
      <c r="B1" s="302" t="s">
        <v>78</v>
      </c>
      <c r="C1" s="301"/>
      <c r="D1" s="303"/>
      <c r="E1" s="303"/>
      <c r="F1" s="303"/>
      <c r="G1" s="303">
        <f>+Assumptions!F11</f>
        <v>0</v>
      </c>
    </row>
    <row r="2" spans="1:17" x14ac:dyDescent="0.25">
      <c r="A2" s="305" t="s">
        <v>0</v>
      </c>
      <c r="B2" s="305"/>
      <c r="C2" s="305"/>
      <c r="D2" s="306" t="s">
        <v>1</v>
      </c>
      <c r="E2" s="306" t="s">
        <v>2</v>
      </c>
      <c r="F2" s="306" t="s">
        <v>3</v>
      </c>
      <c r="G2" s="306" t="s">
        <v>4</v>
      </c>
      <c r="H2" s="304" t="s">
        <v>69</v>
      </c>
    </row>
    <row r="3" spans="1:17" x14ac:dyDescent="0.25">
      <c r="A3" s="307"/>
      <c r="B3" s="307" t="s">
        <v>5</v>
      </c>
      <c r="C3" s="307"/>
      <c r="D3" s="308"/>
      <c r="E3" s="309" t="s">
        <v>6</v>
      </c>
      <c r="F3" s="310"/>
      <c r="G3" s="311">
        <f>D3*F3*H3</f>
        <v>0</v>
      </c>
      <c r="H3" s="342">
        <v>0</v>
      </c>
      <c r="J3" s="304" t="s">
        <v>51</v>
      </c>
      <c r="K3" s="304" t="s">
        <v>52</v>
      </c>
      <c r="L3" s="304" t="s">
        <v>108</v>
      </c>
      <c r="M3" s="304" t="s">
        <v>83</v>
      </c>
      <c r="N3" s="304" t="s">
        <v>49</v>
      </c>
      <c r="O3" s="304" t="s">
        <v>53</v>
      </c>
    </row>
    <row r="4" spans="1:17" x14ac:dyDescent="0.25">
      <c r="A4" s="307"/>
      <c r="B4" s="307" t="s">
        <v>54</v>
      </c>
      <c r="C4" s="307"/>
      <c r="D4" s="312">
        <f>+M4</f>
        <v>82.5</v>
      </c>
      <c r="E4" s="309" t="s">
        <v>71</v>
      </c>
      <c r="F4" s="311">
        <f>+N4</f>
        <v>0.65</v>
      </c>
      <c r="G4" s="311">
        <f>D4*F4</f>
        <v>53.625</v>
      </c>
      <c r="J4" s="313">
        <f>+'Wheat Dual ~800Lb'!J4</f>
        <v>110</v>
      </c>
      <c r="K4" s="304">
        <f>Assumptions!F22</f>
        <v>1.5</v>
      </c>
      <c r="L4" s="336">
        <f>Assumptions!F21</f>
        <v>2</v>
      </c>
      <c r="M4" s="313">
        <f>+J4*K4/L4</f>
        <v>82.5</v>
      </c>
      <c r="N4" s="336">
        <f>+'Wheat Dual ~800Lb'!N4</f>
        <v>0.65</v>
      </c>
      <c r="O4" s="313">
        <f>+N4*M4</f>
        <v>53.625</v>
      </c>
      <c r="Q4" s="304">
        <f>+K4*J4</f>
        <v>165</v>
      </c>
    </row>
    <row r="5" spans="1:17" x14ac:dyDescent="0.25">
      <c r="A5" s="307"/>
      <c r="B5" s="307" t="s">
        <v>55</v>
      </c>
      <c r="C5" s="307"/>
      <c r="D5" s="312">
        <f>+M5</f>
        <v>180.27785454088681</v>
      </c>
      <c r="E5" s="309" t="s">
        <v>71</v>
      </c>
      <c r="F5" s="311">
        <f>+N5</f>
        <v>0.65</v>
      </c>
      <c r="G5" s="311">
        <f>D5*F5</f>
        <v>117.18060545157643</v>
      </c>
      <c r="J5" s="313">
        <f>+'Wheat Dual ~800Lb'!J5</f>
        <v>47</v>
      </c>
      <c r="K5" s="304">
        <v>2.5</v>
      </c>
      <c r="L5" s="336">
        <f>Assumptions!F26/P24</f>
        <v>0.65177167932931623</v>
      </c>
      <c r="M5" s="313">
        <f>+J5*K5/L5</f>
        <v>180.27785454088681</v>
      </c>
      <c r="N5" s="336">
        <f>N4</f>
        <v>0.65</v>
      </c>
      <c r="O5" s="313">
        <f>+N5*M5</f>
        <v>117.18060545157643</v>
      </c>
      <c r="Q5" s="304">
        <f>+K5*J5</f>
        <v>117.5</v>
      </c>
    </row>
    <row r="6" spans="1:17" ht="15.75" thickBot="1" x14ac:dyDescent="0.3">
      <c r="A6" s="307"/>
      <c r="B6" s="307" t="s">
        <v>7</v>
      </c>
      <c r="C6" s="307"/>
      <c r="D6" s="307">
        <v>1</v>
      </c>
      <c r="E6" s="309" t="s">
        <v>8</v>
      </c>
      <c r="F6" s="311">
        <v>0</v>
      </c>
      <c r="G6" s="315">
        <f>D6*F6</f>
        <v>0</v>
      </c>
      <c r="Q6" s="304">
        <f>+Q5+Q4</f>
        <v>282.5</v>
      </c>
    </row>
    <row r="7" spans="1:17" ht="15.75" thickTop="1" x14ac:dyDescent="0.25">
      <c r="A7" s="316" t="s">
        <v>9</v>
      </c>
      <c r="B7" s="316"/>
      <c r="C7" s="316"/>
      <c r="D7" s="316"/>
      <c r="E7" s="316"/>
      <c r="F7" s="316"/>
      <c r="G7" s="317">
        <f>SUM(G3:G6)</f>
        <v>170.80560545157641</v>
      </c>
      <c r="Q7" s="304">
        <f>+Q6/(J5+J4)</f>
        <v>1.7993630573248407</v>
      </c>
    </row>
    <row r="8" spans="1:17" x14ac:dyDescent="0.25">
      <c r="A8" s="305" t="s">
        <v>10</v>
      </c>
      <c r="B8" s="305"/>
      <c r="C8" s="305"/>
      <c r="D8" s="305" t="s">
        <v>1</v>
      </c>
      <c r="E8" s="305" t="s">
        <v>2</v>
      </c>
      <c r="F8" s="305" t="s">
        <v>3</v>
      </c>
      <c r="G8" s="305" t="s">
        <v>4</v>
      </c>
    </row>
    <row r="9" spans="1:17" x14ac:dyDescent="0.25">
      <c r="A9" s="301" t="s">
        <v>11</v>
      </c>
      <c r="B9" s="301"/>
      <c r="C9" s="301"/>
      <c r="D9" s="301"/>
      <c r="E9" s="301"/>
      <c r="F9" s="301"/>
      <c r="G9" s="301"/>
    </row>
    <row r="10" spans="1:17" x14ac:dyDescent="0.25">
      <c r="A10" s="301"/>
      <c r="B10" s="301" t="s">
        <v>12</v>
      </c>
      <c r="C10" s="301"/>
      <c r="D10" s="300">
        <v>1</v>
      </c>
      <c r="E10" s="339" t="s">
        <v>8</v>
      </c>
      <c r="F10" s="31">
        <v>50.4</v>
      </c>
      <c r="G10" s="320">
        <f>D10*F10</f>
        <v>50.4</v>
      </c>
      <c r="N10" s="304" t="s">
        <v>134</v>
      </c>
      <c r="O10" s="304" t="s">
        <v>135</v>
      </c>
      <c r="P10" s="304" t="s">
        <v>136</v>
      </c>
    </row>
    <row r="11" spans="1:17" x14ac:dyDescent="0.25">
      <c r="A11" s="301"/>
      <c r="B11" s="301" t="s">
        <v>13</v>
      </c>
      <c r="C11" s="301"/>
      <c r="D11" s="300">
        <v>1</v>
      </c>
      <c r="E11" s="339" t="s">
        <v>8</v>
      </c>
      <c r="F11" s="31">
        <f>+'Wheat Graze Out'!F11*0.8</f>
        <v>57.760000000000005</v>
      </c>
      <c r="G11" s="320">
        <f t="shared" ref="G11:G20" si="0">D11*F11</f>
        <v>57.760000000000005</v>
      </c>
      <c r="M11" s="304" t="s">
        <v>133</v>
      </c>
    </row>
    <row r="12" spans="1:17" x14ac:dyDescent="0.25">
      <c r="A12" s="301"/>
      <c r="B12" s="301" t="s">
        <v>14</v>
      </c>
      <c r="C12" s="301"/>
      <c r="D12" s="300">
        <v>1</v>
      </c>
      <c r="E12" s="339" t="s">
        <v>8</v>
      </c>
      <c r="F12" s="31">
        <f>5+4.41</f>
        <v>9.41</v>
      </c>
      <c r="G12" s="320">
        <f t="shared" si="0"/>
        <v>9.41</v>
      </c>
      <c r="M12" s="304">
        <v>2018</v>
      </c>
      <c r="N12" s="304">
        <v>1804</v>
      </c>
      <c r="O12" s="304">
        <v>7512</v>
      </c>
      <c r="P12" s="304">
        <f>+O12+N12</f>
        <v>9316</v>
      </c>
    </row>
    <row r="13" spans="1:17" x14ac:dyDescent="0.25">
      <c r="A13" s="301"/>
      <c r="B13" s="301" t="s">
        <v>15</v>
      </c>
      <c r="C13" s="301"/>
      <c r="D13" s="300">
        <v>1</v>
      </c>
      <c r="E13" s="339" t="s">
        <v>8</v>
      </c>
      <c r="F13" s="31">
        <f>+'Wheat Dual ~800Lb'!F13</f>
        <v>0</v>
      </c>
      <c r="G13" s="320">
        <f t="shared" si="0"/>
        <v>0</v>
      </c>
      <c r="M13" s="304">
        <v>2019</v>
      </c>
      <c r="P13" s="304">
        <v>15666</v>
      </c>
    </row>
    <row r="14" spans="1:17" x14ac:dyDescent="0.25">
      <c r="A14" s="301"/>
      <c r="B14" s="301" t="s">
        <v>16</v>
      </c>
      <c r="C14" s="301"/>
      <c r="D14" s="300">
        <v>1</v>
      </c>
      <c r="E14" s="339" t="s">
        <v>8</v>
      </c>
      <c r="F14" s="31">
        <v>0</v>
      </c>
      <c r="G14" s="320">
        <f t="shared" si="0"/>
        <v>0</v>
      </c>
      <c r="M14" s="304">
        <v>2020</v>
      </c>
      <c r="N14" s="304">
        <f>1838+2997</f>
        <v>4835</v>
      </c>
      <c r="O14" s="304">
        <v>6943</v>
      </c>
      <c r="P14" s="304">
        <v>11778</v>
      </c>
    </row>
    <row r="15" spans="1:17" x14ac:dyDescent="0.25">
      <c r="A15" s="301"/>
      <c r="B15" s="301" t="s">
        <v>17</v>
      </c>
      <c r="C15" s="301"/>
      <c r="D15" s="299">
        <v>1</v>
      </c>
      <c r="E15" s="339" t="s">
        <v>18</v>
      </c>
      <c r="F15" s="31">
        <v>3.92</v>
      </c>
      <c r="G15" s="320">
        <f>D15*F15</f>
        <v>3.92</v>
      </c>
      <c r="M15" s="304">
        <v>2015</v>
      </c>
      <c r="N15" s="304">
        <f>2596+2923</f>
        <v>5519</v>
      </c>
      <c r="O15" s="304">
        <v>3525</v>
      </c>
      <c r="P15" s="304">
        <f>+O15+N15</f>
        <v>9044</v>
      </c>
    </row>
    <row r="16" spans="1:17" x14ac:dyDescent="0.25">
      <c r="A16" s="301"/>
      <c r="B16" s="301" t="s">
        <v>19</v>
      </c>
      <c r="C16" s="301"/>
      <c r="D16" s="332">
        <v>0.1</v>
      </c>
      <c r="E16" s="339" t="s">
        <v>20</v>
      </c>
      <c r="F16" s="31">
        <v>0</v>
      </c>
      <c r="G16" s="320">
        <f t="shared" si="0"/>
        <v>0</v>
      </c>
      <c r="N16" s="304">
        <f>+AVERAGE(N12:N15)</f>
        <v>4052.6666666666665</v>
      </c>
      <c r="O16" s="304">
        <f>+AVERAGE(O12:O15)</f>
        <v>5993.333333333333</v>
      </c>
      <c r="P16" s="304">
        <f>+AVERAGE(P12:P15)</f>
        <v>11451</v>
      </c>
    </row>
    <row r="17" spans="1:16" x14ac:dyDescent="0.25">
      <c r="A17" s="301"/>
      <c r="B17" s="301" t="s">
        <v>50</v>
      </c>
      <c r="C17" s="301"/>
      <c r="D17" s="300">
        <v>1</v>
      </c>
      <c r="E17" s="339" t="s">
        <v>8</v>
      </c>
      <c r="F17" s="31">
        <f>3.98+3.9</f>
        <v>7.88</v>
      </c>
      <c r="G17" s="320">
        <f t="shared" si="0"/>
        <v>7.88</v>
      </c>
    </row>
    <row r="18" spans="1:16" x14ac:dyDescent="0.25">
      <c r="A18" s="301"/>
      <c r="B18" s="301" t="s">
        <v>22</v>
      </c>
      <c r="C18" s="301"/>
      <c r="D18" s="299">
        <v>1</v>
      </c>
      <c r="E18" s="339" t="s">
        <v>23</v>
      </c>
      <c r="F18" s="31">
        <f>3.92+4.76</f>
        <v>8.68</v>
      </c>
      <c r="G18" s="320">
        <f t="shared" si="0"/>
        <v>8.68</v>
      </c>
      <c r="M18" s="304" t="s">
        <v>132</v>
      </c>
    </row>
    <row r="19" spans="1:16" x14ac:dyDescent="0.25">
      <c r="A19" s="301"/>
      <c r="B19" s="301" t="s">
        <v>24</v>
      </c>
      <c r="C19" s="301"/>
      <c r="D19" s="300">
        <v>1</v>
      </c>
      <c r="E19" s="339" t="s">
        <v>8</v>
      </c>
      <c r="F19" s="31">
        <v>0</v>
      </c>
      <c r="G19" s="320">
        <f t="shared" si="0"/>
        <v>0</v>
      </c>
      <c r="M19" s="304">
        <v>2018</v>
      </c>
      <c r="N19" s="304">
        <v>1477</v>
      </c>
      <c r="O19" s="304">
        <v>5968</v>
      </c>
      <c r="P19" s="304">
        <f>+O19+N19</f>
        <v>7445</v>
      </c>
    </row>
    <row r="20" spans="1:16" x14ac:dyDescent="0.25">
      <c r="A20" s="301"/>
      <c r="B20" s="301" t="s">
        <v>25</v>
      </c>
      <c r="C20" s="301"/>
      <c r="D20" s="300">
        <v>1</v>
      </c>
      <c r="E20" s="339" t="s">
        <v>8</v>
      </c>
      <c r="F20" s="31">
        <v>0</v>
      </c>
      <c r="G20" s="320">
        <f t="shared" si="0"/>
        <v>0</v>
      </c>
      <c r="M20" s="304">
        <v>2019</v>
      </c>
      <c r="P20" s="304">
        <v>12210</v>
      </c>
    </row>
    <row r="21" spans="1:16" ht="15.75" thickBot="1" x14ac:dyDescent="0.3">
      <c r="A21" s="301"/>
      <c r="B21" s="301" t="s">
        <v>26</v>
      </c>
      <c r="C21" s="301"/>
      <c r="D21" s="301"/>
      <c r="E21" s="301"/>
      <c r="F21" s="321">
        <f>+Assumptions!F35</f>
        <v>7.4999999999999997E-2</v>
      </c>
      <c r="G21" s="322">
        <f>+SUM(G10:G20)*F21/12*6</f>
        <v>5.1768749999999999</v>
      </c>
      <c r="I21" s="323"/>
      <c r="M21" s="304">
        <v>2020</v>
      </c>
      <c r="N21" s="304">
        <f>1725+2992</f>
        <v>4717</v>
      </c>
      <c r="O21" s="304">
        <v>6341</v>
      </c>
      <c r="P21" s="304">
        <v>11057</v>
      </c>
    </row>
    <row r="22" spans="1:16" x14ac:dyDescent="0.25">
      <c r="A22" s="301"/>
      <c r="B22" s="301"/>
      <c r="C22" s="301"/>
      <c r="D22" s="301"/>
      <c r="E22" s="301"/>
      <c r="F22" s="301"/>
      <c r="G22" s="320">
        <f>SUM(G10:G21)</f>
        <v>143.22687500000001</v>
      </c>
      <c r="M22" s="304">
        <v>2015</v>
      </c>
      <c r="N22" s="304">
        <f>3069+2602</f>
        <v>5671</v>
      </c>
      <c r="O22" s="304">
        <v>3422</v>
      </c>
      <c r="P22" s="304">
        <f>+O22+N22</f>
        <v>9093</v>
      </c>
    </row>
    <row r="23" spans="1:16" x14ac:dyDescent="0.25">
      <c r="A23" s="301" t="s">
        <v>27</v>
      </c>
      <c r="B23" s="301"/>
      <c r="C23" s="301"/>
      <c r="D23" s="301"/>
      <c r="E23" s="301"/>
      <c r="F23" s="301"/>
      <c r="G23" s="301"/>
      <c r="N23" s="304">
        <f>+AVERAGE(N19:N22)</f>
        <v>3955</v>
      </c>
      <c r="O23" s="304">
        <f>+AVERAGE(O19:O22)</f>
        <v>5243.666666666667</v>
      </c>
      <c r="P23" s="304">
        <f>+AVERAGE(P19:P22)</f>
        <v>9951.25</v>
      </c>
    </row>
    <row r="24" spans="1:16" x14ac:dyDescent="0.25">
      <c r="A24" s="301"/>
      <c r="B24" s="301" t="s">
        <v>28</v>
      </c>
      <c r="C24" s="301"/>
      <c r="D24" s="301">
        <v>1</v>
      </c>
      <c r="E24" s="301" t="s">
        <v>8</v>
      </c>
      <c r="F24" s="31">
        <v>0</v>
      </c>
      <c r="G24" s="320">
        <f>+D24*F24</f>
        <v>0</v>
      </c>
      <c r="N24" s="304">
        <f>+N16/N23</f>
        <v>1.0246944795617361</v>
      </c>
      <c r="O24" s="304">
        <f>+O16/O23</f>
        <v>1.1429661178564616</v>
      </c>
      <c r="P24" s="304">
        <f>+P16/P23</f>
        <v>1.1507097098354477</v>
      </c>
    </row>
    <row r="25" spans="1:16" x14ac:dyDescent="0.25">
      <c r="A25" s="301"/>
      <c r="B25" s="301" t="s">
        <v>29</v>
      </c>
      <c r="C25" s="301"/>
      <c r="D25" s="301"/>
      <c r="E25" s="301"/>
      <c r="F25" s="324"/>
      <c r="G25" s="301"/>
    </row>
    <row r="26" spans="1:16" ht="15.75" thickBot="1" x14ac:dyDescent="0.3">
      <c r="A26" s="301"/>
      <c r="B26" s="301"/>
      <c r="C26" s="301" t="s">
        <v>30</v>
      </c>
      <c r="D26" s="301">
        <v>1</v>
      </c>
      <c r="E26" s="301" t="s">
        <v>8</v>
      </c>
      <c r="F26" s="31">
        <v>0</v>
      </c>
      <c r="G26" s="322">
        <f>+D26*F26</f>
        <v>0</v>
      </c>
    </row>
    <row r="27" spans="1:16" ht="15.75" thickBot="1" x14ac:dyDescent="0.3">
      <c r="A27" s="301"/>
      <c r="B27" s="301"/>
      <c r="C27" s="301"/>
      <c r="D27" s="301" t="s">
        <v>31</v>
      </c>
      <c r="E27" s="301"/>
      <c r="F27" s="324"/>
      <c r="G27" s="325">
        <f>+G24+G26</f>
        <v>0</v>
      </c>
    </row>
    <row r="28" spans="1:16" ht="15.75" thickTop="1" x14ac:dyDescent="0.25">
      <c r="A28" s="301"/>
      <c r="B28" s="301"/>
      <c r="C28" s="301"/>
      <c r="D28" s="301"/>
      <c r="E28" s="301"/>
      <c r="F28" s="324"/>
      <c r="G28" s="301"/>
    </row>
    <row r="29" spans="1:16" ht="15.75" thickBot="1" x14ac:dyDescent="0.3">
      <c r="A29" s="301" t="s">
        <v>32</v>
      </c>
      <c r="B29" s="301"/>
      <c r="C29" s="301"/>
      <c r="D29" s="301">
        <v>1</v>
      </c>
      <c r="E29" s="301" t="s">
        <v>8</v>
      </c>
      <c r="F29" s="31">
        <v>0</v>
      </c>
      <c r="G29" s="326">
        <f>+D29*F29</f>
        <v>0</v>
      </c>
    </row>
    <row r="30" spans="1:16" ht="15.75" thickTop="1" x14ac:dyDescent="0.25">
      <c r="A30" s="301"/>
      <c r="B30" s="301"/>
      <c r="C30" s="301"/>
      <c r="D30" s="301"/>
      <c r="E30" s="301"/>
      <c r="F30" s="301"/>
      <c r="G30" s="301"/>
    </row>
    <row r="31" spans="1:16" ht="15.75" thickBot="1" x14ac:dyDescent="0.3">
      <c r="A31" s="301" t="s">
        <v>33</v>
      </c>
      <c r="B31" s="301"/>
      <c r="C31" s="301"/>
      <c r="D31" s="301"/>
      <c r="E31" s="301"/>
      <c r="F31" s="301"/>
      <c r="G31" s="327">
        <f>+G22+G27+G29</f>
        <v>143.22687500000001</v>
      </c>
    </row>
    <row r="32" spans="1:16" ht="15.75" thickTop="1" x14ac:dyDescent="0.25">
      <c r="A32" s="301"/>
      <c r="B32" s="301"/>
      <c r="C32" s="301"/>
      <c r="D32" s="301"/>
      <c r="E32" s="301"/>
      <c r="F32" s="301"/>
      <c r="G32" s="301"/>
    </row>
    <row r="33" spans="1:7" x14ac:dyDescent="0.25">
      <c r="A33" s="301" t="s">
        <v>34</v>
      </c>
      <c r="B33" s="301"/>
      <c r="C33" s="301"/>
      <c r="D33" s="301"/>
      <c r="E33" s="301"/>
      <c r="F33" s="301"/>
      <c r="G33" s="320">
        <f>+G7-G31</f>
        <v>27.578730451576405</v>
      </c>
    </row>
    <row r="34" spans="1:7" x14ac:dyDescent="0.25">
      <c r="A34" s="301"/>
      <c r="B34" s="301" t="s">
        <v>35</v>
      </c>
      <c r="C34" s="301"/>
      <c r="D34" s="301"/>
      <c r="E34" s="301" t="s">
        <v>6</v>
      </c>
      <c r="F34" s="328" t="str">
        <f>IF(D3=0,"n/a",(G31-G4-G5-G6)/D3)</f>
        <v>n/a</v>
      </c>
      <c r="G34" s="301"/>
    </row>
    <row r="35" spans="1:7" x14ac:dyDescent="0.25">
      <c r="A35" s="301"/>
      <c r="B35" s="301"/>
      <c r="C35" s="301"/>
      <c r="D35" s="301"/>
      <c r="E35" s="301"/>
      <c r="F35" s="301"/>
      <c r="G35" s="301"/>
    </row>
    <row r="36" spans="1:7" x14ac:dyDescent="0.25">
      <c r="A36" s="305" t="s">
        <v>36</v>
      </c>
      <c r="B36" s="305"/>
      <c r="C36" s="305"/>
      <c r="D36" s="305" t="s">
        <v>1</v>
      </c>
      <c r="E36" s="305" t="s">
        <v>2</v>
      </c>
      <c r="F36" s="305" t="s">
        <v>3</v>
      </c>
      <c r="G36" s="305" t="s">
        <v>4</v>
      </c>
    </row>
    <row r="37" spans="1:7" x14ac:dyDescent="0.25">
      <c r="A37" s="301"/>
      <c r="B37" s="301" t="s">
        <v>37</v>
      </c>
      <c r="C37" s="301"/>
      <c r="D37" s="301">
        <v>1</v>
      </c>
      <c r="E37" s="301" t="s">
        <v>8</v>
      </c>
      <c r="F37" s="31">
        <f>5.59+5.61</f>
        <v>11.2</v>
      </c>
      <c r="G37" s="320">
        <f>D37*F37</f>
        <v>11.2</v>
      </c>
    </row>
    <row r="38" spans="1:7" x14ac:dyDescent="0.25">
      <c r="A38" s="301"/>
      <c r="B38" s="301" t="s">
        <v>111</v>
      </c>
      <c r="C38" s="301"/>
      <c r="D38" s="301">
        <v>1</v>
      </c>
      <c r="E38" s="301" t="s">
        <v>8</v>
      </c>
      <c r="F38" s="31">
        <v>3.74</v>
      </c>
      <c r="G38" s="320">
        <f t="shared" ref="G38:G45" si="1">D38*F38</f>
        <v>3.74</v>
      </c>
    </row>
    <row r="39" spans="1:7" x14ac:dyDescent="0.25">
      <c r="A39" s="301"/>
      <c r="B39" s="301" t="s">
        <v>39</v>
      </c>
      <c r="C39" s="301"/>
      <c r="D39" s="301">
        <v>1</v>
      </c>
      <c r="E39" s="301" t="s">
        <v>8</v>
      </c>
      <c r="F39" s="31">
        <v>0</v>
      </c>
      <c r="G39" s="320">
        <f t="shared" si="1"/>
        <v>0</v>
      </c>
    </row>
    <row r="40" spans="1:7" x14ac:dyDescent="0.25">
      <c r="A40" s="301"/>
      <c r="B40" s="301" t="s">
        <v>40</v>
      </c>
      <c r="C40" s="301"/>
      <c r="D40" s="301">
        <v>1</v>
      </c>
      <c r="E40" s="301" t="s">
        <v>8</v>
      </c>
      <c r="F40" s="31">
        <v>30</v>
      </c>
      <c r="G40" s="320">
        <f t="shared" si="1"/>
        <v>30</v>
      </c>
    </row>
    <row r="41" spans="1:7" x14ac:dyDescent="0.25">
      <c r="A41" s="301"/>
      <c r="B41" s="301" t="s">
        <v>41</v>
      </c>
      <c r="C41" s="301"/>
      <c r="D41" s="301">
        <v>1</v>
      </c>
      <c r="E41" s="301" t="s">
        <v>8</v>
      </c>
      <c r="F41" s="31">
        <v>0</v>
      </c>
      <c r="G41" s="320">
        <f t="shared" si="1"/>
        <v>0</v>
      </c>
    </row>
    <row r="42" spans="1:7" x14ac:dyDescent="0.25">
      <c r="A42" s="301"/>
      <c r="B42" s="28" t="s">
        <v>43</v>
      </c>
      <c r="C42" s="29"/>
      <c r="D42" s="29">
        <v>1</v>
      </c>
      <c r="E42" s="29" t="s">
        <v>8</v>
      </c>
      <c r="F42" s="31">
        <v>0</v>
      </c>
      <c r="G42" s="320">
        <f t="shared" si="1"/>
        <v>0</v>
      </c>
    </row>
    <row r="43" spans="1:7" x14ac:dyDescent="0.25">
      <c r="A43" s="301"/>
      <c r="B43" s="28" t="s">
        <v>43</v>
      </c>
      <c r="C43" s="28"/>
      <c r="D43" s="28">
        <v>1</v>
      </c>
      <c r="E43" s="28" t="s">
        <v>8</v>
      </c>
      <c r="F43" s="31">
        <v>0</v>
      </c>
      <c r="G43" s="320">
        <f t="shared" si="1"/>
        <v>0</v>
      </c>
    </row>
    <row r="44" spans="1:7" x14ac:dyDescent="0.25">
      <c r="A44" s="301"/>
      <c r="B44" s="28" t="s">
        <v>43</v>
      </c>
      <c r="C44" s="28"/>
      <c r="D44" s="28">
        <v>1</v>
      </c>
      <c r="E44" s="28" t="s">
        <v>8</v>
      </c>
      <c r="F44" s="31">
        <v>0</v>
      </c>
      <c r="G44" s="320">
        <f t="shared" si="1"/>
        <v>0</v>
      </c>
    </row>
    <row r="45" spans="1:7" ht="15.75" thickBot="1" x14ac:dyDescent="0.3">
      <c r="A45" s="301"/>
      <c r="B45" s="28" t="s">
        <v>43</v>
      </c>
      <c r="C45" s="28"/>
      <c r="D45" s="28">
        <v>1</v>
      </c>
      <c r="E45" s="28" t="s">
        <v>8</v>
      </c>
      <c r="F45" s="31">
        <v>0</v>
      </c>
      <c r="G45" s="327">
        <f t="shared" si="1"/>
        <v>0</v>
      </c>
    </row>
    <row r="46" spans="1:7" ht="15.75" thickTop="1" x14ac:dyDescent="0.25">
      <c r="A46" s="301"/>
      <c r="B46" s="301"/>
      <c r="C46" s="301"/>
      <c r="D46" s="301"/>
      <c r="E46" s="301"/>
      <c r="F46" s="301"/>
      <c r="G46" s="301"/>
    </row>
    <row r="47" spans="1:7" ht="15.75" thickBot="1" x14ac:dyDescent="0.3">
      <c r="A47" s="301" t="s">
        <v>44</v>
      </c>
      <c r="B47" s="301"/>
      <c r="C47" s="301"/>
      <c r="D47" s="301"/>
      <c r="E47" s="301"/>
      <c r="F47" s="301"/>
      <c r="G47" s="327">
        <f>SUM(G37:G45)</f>
        <v>44.94</v>
      </c>
    </row>
    <row r="48" spans="1:7" ht="15.75" thickTop="1" x14ac:dyDescent="0.25">
      <c r="A48" s="301"/>
      <c r="B48" s="301"/>
      <c r="C48" s="301"/>
      <c r="D48" s="301"/>
      <c r="E48" s="301"/>
      <c r="F48" s="301"/>
      <c r="G48" s="301"/>
    </row>
    <row r="49" spans="1:7" ht="15.75" thickBot="1" x14ac:dyDescent="0.3">
      <c r="A49" s="301" t="s">
        <v>45</v>
      </c>
      <c r="B49" s="301"/>
      <c r="C49" s="301"/>
      <c r="D49" s="301"/>
      <c r="E49" s="301"/>
      <c r="F49" s="301"/>
      <c r="G49" s="327">
        <f>+G31+G47</f>
        <v>188.166875</v>
      </c>
    </row>
    <row r="50" spans="1:7" ht="15.75" thickTop="1" x14ac:dyDescent="0.25">
      <c r="A50" s="301"/>
      <c r="B50" s="301"/>
      <c r="C50" s="301"/>
      <c r="D50" s="301"/>
      <c r="E50" s="301"/>
      <c r="F50" s="301"/>
      <c r="G50" s="301"/>
    </row>
    <row r="51" spans="1:7" x14ac:dyDescent="0.25">
      <c r="A51" s="301" t="s">
        <v>46</v>
      </c>
      <c r="B51" s="301"/>
      <c r="C51" s="301"/>
      <c r="D51" s="301"/>
      <c r="E51" s="301"/>
      <c r="F51" s="301"/>
      <c r="G51" s="320">
        <f>+G7-G49</f>
        <v>-17.361269548423593</v>
      </c>
    </row>
    <row r="52" spans="1:7" ht="15.75" thickBot="1" x14ac:dyDescent="0.3">
      <c r="A52" s="330" t="s">
        <v>47</v>
      </c>
      <c r="B52" s="330"/>
      <c r="C52" s="330"/>
      <c r="D52" s="330"/>
      <c r="E52" s="330" t="s">
        <v>6</v>
      </c>
      <c r="F52" s="331" t="str">
        <f>IF(D3=0,"n/a",(G49-G4-G5-G6)/D3)</f>
        <v>n/a</v>
      </c>
      <c r="G52" s="330"/>
    </row>
    <row r="53" spans="1:7" ht="15.75" thickTop="1" x14ac:dyDescent="0.25"/>
  </sheetData>
  <sheetProtection sheet="1" objects="1" scenarios="1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A2E33-8DFB-4E05-B562-D7B2458FD1C9}">
  <dimension ref="A1:O53"/>
  <sheetViews>
    <sheetView workbookViewId="0">
      <selection activeCell="H8" sqref="H8"/>
    </sheetView>
  </sheetViews>
  <sheetFormatPr defaultRowHeight="15" x14ac:dyDescent="0.25"/>
  <cols>
    <col min="1" max="2" width="3" style="304" customWidth="1"/>
    <col min="3" max="3" width="27.140625" style="304" customWidth="1"/>
    <col min="4" max="7" width="10.140625" style="304" customWidth="1"/>
    <col min="8" max="8" width="9.140625" style="304"/>
    <col min="9" max="14" width="0" style="304" hidden="1" customWidth="1"/>
    <col min="15" max="15" width="9.140625" style="304" hidden="1" customWidth="1"/>
    <col min="16" max="16" width="0" style="304" hidden="1" customWidth="1"/>
    <col min="17" max="249" width="9.140625" style="304"/>
    <col min="250" max="251" width="3" style="304" customWidth="1"/>
    <col min="252" max="252" width="27.140625" style="304" customWidth="1"/>
    <col min="253" max="257" width="10.140625" style="304" customWidth="1"/>
    <col min="258" max="505" width="9.140625" style="304"/>
    <col min="506" max="507" width="3" style="304" customWidth="1"/>
    <col min="508" max="508" width="27.140625" style="304" customWidth="1"/>
    <col min="509" max="513" width="10.140625" style="304" customWidth="1"/>
    <col min="514" max="761" width="9.140625" style="304"/>
    <col min="762" max="763" width="3" style="304" customWidth="1"/>
    <col min="764" max="764" width="27.140625" style="304" customWidth="1"/>
    <col min="765" max="769" width="10.140625" style="304" customWidth="1"/>
    <col min="770" max="1017" width="9.140625" style="304"/>
    <col min="1018" max="1019" width="3" style="304" customWidth="1"/>
    <col min="1020" max="1020" width="27.140625" style="304" customWidth="1"/>
    <col min="1021" max="1025" width="10.140625" style="304" customWidth="1"/>
    <col min="1026" max="1273" width="9.140625" style="304"/>
    <col min="1274" max="1275" width="3" style="304" customWidth="1"/>
    <col min="1276" max="1276" width="27.140625" style="304" customWidth="1"/>
    <col min="1277" max="1281" width="10.140625" style="304" customWidth="1"/>
    <col min="1282" max="1529" width="9.140625" style="304"/>
    <col min="1530" max="1531" width="3" style="304" customWidth="1"/>
    <col min="1532" max="1532" width="27.140625" style="304" customWidth="1"/>
    <col min="1533" max="1537" width="10.140625" style="304" customWidth="1"/>
    <col min="1538" max="1785" width="9.140625" style="304"/>
    <col min="1786" max="1787" width="3" style="304" customWidth="1"/>
    <col min="1788" max="1788" width="27.140625" style="304" customWidth="1"/>
    <col min="1789" max="1793" width="10.140625" style="304" customWidth="1"/>
    <col min="1794" max="2041" width="9.140625" style="304"/>
    <col min="2042" max="2043" width="3" style="304" customWidth="1"/>
    <col min="2044" max="2044" width="27.140625" style="304" customWidth="1"/>
    <col min="2045" max="2049" width="10.140625" style="304" customWidth="1"/>
    <col min="2050" max="2297" width="9.140625" style="304"/>
    <col min="2298" max="2299" width="3" style="304" customWidth="1"/>
    <col min="2300" max="2300" width="27.140625" style="304" customWidth="1"/>
    <col min="2301" max="2305" width="10.140625" style="304" customWidth="1"/>
    <col min="2306" max="2553" width="9.140625" style="304"/>
    <col min="2554" max="2555" width="3" style="304" customWidth="1"/>
    <col min="2556" max="2556" width="27.140625" style="304" customWidth="1"/>
    <col min="2557" max="2561" width="10.140625" style="304" customWidth="1"/>
    <col min="2562" max="2809" width="9.140625" style="304"/>
    <col min="2810" max="2811" width="3" style="304" customWidth="1"/>
    <col min="2812" max="2812" width="27.140625" style="304" customWidth="1"/>
    <col min="2813" max="2817" width="10.140625" style="304" customWidth="1"/>
    <col min="2818" max="3065" width="9.140625" style="304"/>
    <col min="3066" max="3067" width="3" style="304" customWidth="1"/>
    <col min="3068" max="3068" width="27.140625" style="304" customWidth="1"/>
    <col min="3069" max="3073" width="10.140625" style="304" customWidth="1"/>
    <col min="3074" max="3321" width="9.140625" style="304"/>
    <col min="3322" max="3323" width="3" style="304" customWidth="1"/>
    <col min="3324" max="3324" width="27.140625" style="304" customWidth="1"/>
    <col min="3325" max="3329" width="10.140625" style="304" customWidth="1"/>
    <col min="3330" max="3577" width="9.140625" style="304"/>
    <col min="3578" max="3579" width="3" style="304" customWidth="1"/>
    <col min="3580" max="3580" width="27.140625" style="304" customWidth="1"/>
    <col min="3581" max="3585" width="10.140625" style="304" customWidth="1"/>
    <col min="3586" max="3833" width="9.140625" style="304"/>
    <col min="3834" max="3835" width="3" style="304" customWidth="1"/>
    <col min="3836" max="3836" width="27.140625" style="304" customWidth="1"/>
    <col min="3837" max="3841" width="10.140625" style="304" customWidth="1"/>
    <col min="3842" max="4089" width="9.140625" style="304"/>
    <col min="4090" max="4091" width="3" style="304" customWidth="1"/>
    <col min="4092" max="4092" width="27.140625" style="304" customWidth="1"/>
    <col min="4093" max="4097" width="10.140625" style="304" customWidth="1"/>
    <col min="4098" max="4345" width="9.140625" style="304"/>
    <col min="4346" max="4347" width="3" style="304" customWidth="1"/>
    <col min="4348" max="4348" width="27.140625" style="304" customWidth="1"/>
    <col min="4349" max="4353" width="10.140625" style="304" customWidth="1"/>
    <col min="4354" max="4601" width="9.140625" style="304"/>
    <col min="4602" max="4603" width="3" style="304" customWidth="1"/>
    <col min="4604" max="4604" width="27.140625" style="304" customWidth="1"/>
    <col min="4605" max="4609" width="10.140625" style="304" customWidth="1"/>
    <col min="4610" max="4857" width="9.140625" style="304"/>
    <col min="4858" max="4859" width="3" style="304" customWidth="1"/>
    <col min="4860" max="4860" width="27.140625" style="304" customWidth="1"/>
    <col min="4861" max="4865" width="10.140625" style="304" customWidth="1"/>
    <col min="4866" max="5113" width="9.140625" style="304"/>
    <col min="5114" max="5115" width="3" style="304" customWidth="1"/>
    <col min="5116" max="5116" width="27.140625" style="304" customWidth="1"/>
    <col min="5117" max="5121" width="10.140625" style="304" customWidth="1"/>
    <col min="5122" max="5369" width="9.140625" style="304"/>
    <col min="5370" max="5371" width="3" style="304" customWidth="1"/>
    <col min="5372" max="5372" width="27.140625" style="304" customWidth="1"/>
    <col min="5373" max="5377" width="10.140625" style="304" customWidth="1"/>
    <col min="5378" max="5625" width="9.140625" style="304"/>
    <col min="5626" max="5627" width="3" style="304" customWidth="1"/>
    <col min="5628" max="5628" width="27.140625" style="304" customWidth="1"/>
    <col min="5629" max="5633" width="10.140625" style="304" customWidth="1"/>
    <col min="5634" max="5881" width="9.140625" style="304"/>
    <col min="5882" max="5883" width="3" style="304" customWidth="1"/>
    <col min="5884" max="5884" width="27.140625" style="304" customWidth="1"/>
    <col min="5885" max="5889" width="10.140625" style="304" customWidth="1"/>
    <col min="5890" max="6137" width="9.140625" style="304"/>
    <col min="6138" max="6139" width="3" style="304" customWidth="1"/>
    <col min="6140" max="6140" width="27.140625" style="304" customWidth="1"/>
    <col min="6141" max="6145" width="10.140625" style="304" customWidth="1"/>
    <col min="6146" max="6393" width="9.140625" style="304"/>
    <col min="6394" max="6395" width="3" style="304" customWidth="1"/>
    <col min="6396" max="6396" width="27.140625" style="304" customWidth="1"/>
    <col min="6397" max="6401" width="10.140625" style="304" customWidth="1"/>
    <col min="6402" max="6649" width="9.140625" style="304"/>
    <col min="6650" max="6651" width="3" style="304" customWidth="1"/>
    <col min="6652" max="6652" width="27.140625" style="304" customWidth="1"/>
    <col min="6653" max="6657" width="10.140625" style="304" customWidth="1"/>
    <col min="6658" max="6905" width="9.140625" style="304"/>
    <col min="6906" max="6907" width="3" style="304" customWidth="1"/>
    <col min="6908" max="6908" width="27.140625" style="304" customWidth="1"/>
    <col min="6909" max="6913" width="10.140625" style="304" customWidth="1"/>
    <col min="6914" max="7161" width="9.140625" style="304"/>
    <col min="7162" max="7163" width="3" style="304" customWidth="1"/>
    <col min="7164" max="7164" width="27.140625" style="304" customWidth="1"/>
    <col min="7165" max="7169" width="10.140625" style="304" customWidth="1"/>
    <col min="7170" max="7417" width="9.140625" style="304"/>
    <col min="7418" max="7419" width="3" style="304" customWidth="1"/>
    <col min="7420" max="7420" width="27.140625" style="304" customWidth="1"/>
    <col min="7421" max="7425" width="10.140625" style="304" customWidth="1"/>
    <col min="7426" max="7673" width="9.140625" style="304"/>
    <col min="7674" max="7675" width="3" style="304" customWidth="1"/>
    <col min="7676" max="7676" width="27.140625" style="304" customWidth="1"/>
    <col min="7677" max="7681" width="10.140625" style="304" customWidth="1"/>
    <col min="7682" max="7929" width="9.140625" style="304"/>
    <col min="7930" max="7931" width="3" style="304" customWidth="1"/>
    <col min="7932" max="7932" width="27.140625" style="304" customWidth="1"/>
    <col min="7933" max="7937" width="10.140625" style="304" customWidth="1"/>
    <col min="7938" max="8185" width="9.140625" style="304"/>
    <col min="8186" max="8187" width="3" style="304" customWidth="1"/>
    <col min="8188" max="8188" width="27.140625" style="304" customWidth="1"/>
    <col min="8189" max="8193" width="10.140625" style="304" customWidth="1"/>
    <col min="8194" max="8441" width="9.140625" style="304"/>
    <col min="8442" max="8443" width="3" style="304" customWidth="1"/>
    <col min="8444" max="8444" width="27.140625" style="304" customWidth="1"/>
    <col min="8445" max="8449" width="10.140625" style="304" customWidth="1"/>
    <col min="8450" max="8697" width="9.140625" style="304"/>
    <col min="8698" max="8699" width="3" style="304" customWidth="1"/>
    <col min="8700" max="8700" width="27.140625" style="304" customWidth="1"/>
    <col min="8701" max="8705" width="10.140625" style="304" customWidth="1"/>
    <col min="8706" max="8953" width="9.140625" style="304"/>
    <col min="8954" max="8955" width="3" style="304" customWidth="1"/>
    <col min="8956" max="8956" width="27.140625" style="304" customWidth="1"/>
    <col min="8957" max="8961" width="10.140625" style="304" customWidth="1"/>
    <col min="8962" max="9209" width="9.140625" style="304"/>
    <col min="9210" max="9211" width="3" style="304" customWidth="1"/>
    <col min="9212" max="9212" width="27.140625" style="304" customWidth="1"/>
    <col min="9213" max="9217" width="10.140625" style="304" customWidth="1"/>
    <col min="9218" max="9465" width="9.140625" style="304"/>
    <col min="9466" max="9467" width="3" style="304" customWidth="1"/>
    <col min="9468" max="9468" width="27.140625" style="304" customWidth="1"/>
    <col min="9469" max="9473" width="10.140625" style="304" customWidth="1"/>
    <col min="9474" max="9721" width="9.140625" style="304"/>
    <col min="9722" max="9723" width="3" style="304" customWidth="1"/>
    <col min="9724" max="9724" width="27.140625" style="304" customWidth="1"/>
    <col min="9725" max="9729" width="10.140625" style="304" customWidth="1"/>
    <col min="9730" max="9977" width="9.140625" style="304"/>
    <col min="9978" max="9979" width="3" style="304" customWidth="1"/>
    <col min="9980" max="9980" width="27.140625" style="304" customWidth="1"/>
    <col min="9981" max="9985" width="10.140625" style="304" customWidth="1"/>
    <col min="9986" max="10233" width="9.140625" style="304"/>
    <col min="10234" max="10235" width="3" style="304" customWidth="1"/>
    <col min="10236" max="10236" width="27.140625" style="304" customWidth="1"/>
    <col min="10237" max="10241" width="10.140625" style="304" customWidth="1"/>
    <col min="10242" max="10489" width="9.140625" style="304"/>
    <col min="10490" max="10491" width="3" style="304" customWidth="1"/>
    <col min="10492" max="10492" width="27.140625" style="304" customWidth="1"/>
    <col min="10493" max="10497" width="10.140625" style="304" customWidth="1"/>
    <col min="10498" max="10745" width="9.140625" style="304"/>
    <col min="10746" max="10747" width="3" style="304" customWidth="1"/>
    <col min="10748" max="10748" width="27.140625" style="304" customWidth="1"/>
    <col min="10749" max="10753" width="10.140625" style="304" customWidth="1"/>
    <col min="10754" max="11001" width="9.140625" style="304"/>
    <col min="11002" max="11003" width="3" style="304" customWidth="1"/>
    <col min="11004" max="11004" width="27.140625" style="304" customWidth="1"/>
    <col min="11005" max="11009" width="10.140625" style="304" customWidth="1"/>
    <col min="11010" max="11257" width="9.140625" style="304"/>
    <col min="11258" max="11259" width="3" style="304" customWidth="1"/>
    <col min="11260" max="11260" width="27.140625" style="304" customWidth="1"/>
    <col min="11261" max="11265" width="10.140625" style="304" customWidth="1"/>
    <col min="11266" max="11513" width="9.140625" style="304"/>
    <col min="11514" max="11515" width="3" style="304" customWidth="1"/>
    <col min="11516" max="11516" width="27.140625" style="304" customWidth="1"/>
    <col min="11517" max="11521" width="10.140625" style="304" customWidth="1"/>
    <col min="11522" max="11769" width="9.140625" style="304"/>
    <col min="11770" max="11771" width="3" style="304" customWidth="1"/>
    <col min="11772" max="11772" width="27.140625" style="304" customWidth="1"/>
    <col min="11773" max="11777" width="10.140625" style="304" customWidth="1"/>
    <col min="11778" max="12025" width="9.140625" style="304"/>
    <col min="12026" max="12027" width="3" style="304" customWidth="1"/>
    <col min="12028" max="12028" width="27.140625" style="304" customWidth="1"/>
    <col min="12029" max="12033" width="10.140625" style="304" customWidth="1"/>
    <col min="12034" max="12281" width="9.140625" style="304"/>
    <col min="12282" max="12283" width="3" style="304" customWidth="1"/>
    <col min="12284" max="12284" width="27.140625" style="304" customWidth="1"/>
    <col min="12285" max="12289" width="10.140625" style="304" customWidth="1"/>
    <col min="12290" max="12537" width="9.140625" style="304"/>
    <col min="12538" max="12539" width="3" style="304" customWidth="1"/>
    <col min="12540" max="12540" width="27.140625" style="304" customWidth="1"/>
    <col min="12541" max="12545" width="10.140625" style="304" customWidth="1"/>
    <col min="12546" max="12793" width="9.140625" style="304"/>
    <col min="12794" max="12795" width="3" style="304" customWidth="1"/>
    <col min="12796" max="12796" width="27.140625" style="304" customWidth="1"/>
    <col min="12797" max="12801" width="10.140625" style="304" customWidth="1"/>
    <col min="12802" max="13049" width="9.140625" style="304"/>
    <col min="13050" max="13051" width="3" style="304" customWidth="1"/>
    <col min="13052" max="13052" width="27.140625" style="304" customWidth="1"/>
    <col min="13053" max="13057" width="10.140625" style="304" customWidth="1"/>
    <col min="13058" max="13305" width="9.140625" style="304"/>
    <col min="13306" max="13307" width="3" style="304" customWidth="1"/>
    <col min="13308" max="13308" width="27.140625" style="304" customWidth="1"/>
    <col min="13309" max="13313" width="10.140625" style="304" customWidth="1"/>
    <col min="13314" max="13561" width="9.140625" style="304"/>
    <col min="13562" max="13563" width="3" style="304" customWidth="1"/>
    <col min="13564" max="13564" width="27.140625" style="304" customWidth="1"/>
    <col min="13565" max="13569" width="10.140625" style="304" customWidth="1"/>
    <col min="13570" max="13817" width="9.140625" style="304"/>
    <col min="13818" max="13819" width="3" style="304" customWidth="1"/>
    <col min="13820" max="13820" width="27.140625" style="304" customWidth="1"/>
    <col min="13821" max="13825" width="10.140625" style="304" customWidth="1"/>
    <col min="13826" max="14073" width="9.140625" style="304"/>
    <col min="14074" max="14075" width="3" style="304" customWidth="1"/>
    <col min="14076" max="14076" width="27.140625" style="304" customWidth="1"/>
    <col min="14077" max="14081" width="10.140625" style="304" customWidth="1"/>
    <col min="14082" max="14329" width="9.140625" style="304"/>
    <col min="14330" max="14331" width="3" style="304" customWidth="1"/>
    <col min="14332" max="14332" width="27.140625" style="304" customWidth="1"/>
    <col min="14333" max="14337" width="10.140625" style="304" customWidth="1"/>
    <col min="14338" max="14585" width="9.140625" style="304"/>
    <col min="14586" max="14587" width="3" style="304" customWidth="1"/>
    <col min="14588" max="14588" width="27.140625" style="304" customWidth="1"/>
    <col min="14589" max="14593" width="10.140625" style="304" customWidth="1"/>
    <col min="14594" max="14841" width="9.140625" style="304"/>
    <col min="14842" max="14843" width="3" style="304" customWidth="1"/>
    <col min="14844" max="14844" width="27.140625" style="304" customWidth="1"/>
    <col min="14845" max="14849" width="10.140625" style="304" customWidth="1"/>
    <col min="14850" max="15097" width="9.140625" style="304"/>
    <col min="15098" max="15099" width="3" style="304" customWidth="1"/>
    <col min="15100" max="15100" width="27.140625" style="304" customWidth="1"/>
    <col min="15101" max="15105" width="10.140625" style="304" customWidth="1"/>
    <col min="15106" max="15353" width="9.140625" style="304"/>
    <col min="15354" max="15355" width="3" style="304" customWidth="1"/>
    <col min="15356" max="15356" width="27.140625" style="304" customWidth="1"/>
    <col min="15357" max="15361" width="10.140625" style="304" customWidth="1"/>
    <col min="15362" max="15609" width="9.140625" style="304"/>
    <col min="15610" max="15611" width="3" style="304" customWidth="1"/>
    <col min="15612" max="15612" width="27.140625" style="304" customWidth="1"/>
    <col min="15613" max="15617" width="10.140625" style="304" customWidth="1"/>
    <col min="15618" max="15865" width="9.140625" style="304"/>
    <col min="15866" max="15867" width="3" style="304" customWidth="1"/>
    <col min="15868" max="15868" width="27.140625" style="304" customWidth="1"/>
    <col min="15869" max="15873" width="10.140625" style="304" customWidth="1"/>
    <col min="15874" max="16121" width="9.140625" style="304"/>
    <col min="16122" max="16123" width="3" style="304" customWidth="1"/>
    <col min="16124" max="16124" width="27.140625" style="304" customWidth="1"/>
    <col min="16125" max="16129" width="10.140625" style="304" customWidth="1"/>
    <col min="16130" max="16377" width="9.140625" style="304"/>
    <col min="16378" max="16384" width="9.140625" style="304" customWidth="1"/>
  </cols>
  <sheetData>
    <row r="1" spans="1:15" x14ac:dyDescent="0.25">
      <c r="A1" s="301"/>
      <c r="B1" s="302" t="s">
        <v>77</v>
      </c>
      <c r="C1" s="301"/>
      <c r="D1" s="303"/>
      <c r="E1" s="303"/>
      <c r="F1" s="303"/>
      <c r="G1" s="303"/>
    </row>
    <row r="2" spans="1:15" x14ac:dyDescent="0.25">
      <c r="A2" s="305" t="s">
        <v>0</v>
      </c>
      <c r="B2" s="305"/>
      <c r="C2" s="305"/>
      <c r="D2" s="306" t="s">
        <v>1</v>
      </c>
      <c r="E2" s="306" t="s">
        <v>2</v>
      </c>
      <c r="F2" s="306" t="s">
        <v>3</v>
      </c>
      <c r="G2" s="306" t="s">
        <v>4</v>
      </c>
    </row>
    <row r="3" spans="1:15" x14ac:dyDescent="0.25">
      <c r="A3" s="301"/>
      <c r="B3" s="301" t="s">
        <v>5</v>
      </c>
      <c r="C3" s="301"/>
      <c r="D3" s="340">
        <v>60</v>
      </c>
      <c r="E3" s="303" t="s">
        <v>6</v>
      </c>
      <c r="F3" s="341">
        <f>+Assumptions!F14</f>
        <v>9.5</v>
      </c>
      <c r="G3" s="320">
        <f>D3*F3</f>
        <v>570</v>
      </c>
      <c r="J3" s="304" t="s">
        <v>51</v>
      </c>
      <c r="K3" s="304" t="s">
        <v>52</v>
      </c>
      <c r="L3" s="304" t="s">
        <v>48</v>
      </c>
      <c r="N3" s="304" t="s">
        <v>49</v>
      </c>
      <c r="O3" s="304" t="s">
        <v>53</v>
      </c>
    </row>
    <row r="4" spans="1:15" x14ac:dyDescent="0.25">
      <c r="A4" s="301"/>
      <c r="B4" s="301" t="s">
        <v>54</v>
      </c>
      <c r="C4" s="301"/>
      <c r="D4" s="343">
        <f>+M4</f>
        <v>82.5</v>
      </c>
      <c r="E4" s="303" t="s">
        <v>71</v>
      </c>
      <c r="F4" s="341">
        <f>+N4</f>
        <v>0.65</v>
      </c>
      <c r="G4" s="320">
        <f>D4*F4</f>
        <v>53.625</v>
      </c>
      <c r="J4" s="313">
        <f>+'Wheat Graze Out'!J4</f>
        <v>110</v>
      </c>
      <c r="K4" s="313">
        <f>+'Wheat Graze Out'!K4</f>
        <v>1.5</v>
      </c>
      <c r="L4" s="313">
        <f>+'Wheat Graze Out'!L4</f>
        <v>2</v>
      </c>
      <c r="M4" s="313">
        <f>+J4*K4/L4</f>
        <v>82.5</v>
      </c>
      <c r="N4" s="314">
        <f>+'Wheat Graze Out'!N4</f>
        <v>0.65</v>
      </c>
      <c r="O4" s="304">
        <f>+N4*M4</f>
        <v>53.625</v>
      </c>
    </row>
    <row r="5" spans="1:15" x14ac:dyDescent="0.25">
      <c r="A5" s="301"/>
      <c r="B5" s="301" t="s">
        <v>7</v>
      </c>
      <c r="C5" s="301"/>
      <c r="D5" s="301">
        <v>1</v>
      </c>
      <c r="E5" s="303" t="s">
        <v>8</v>
      </c>
      <c r="F5" s="320">
        <v>0</v>
      </c>
      <c r="G5" s="320">
        <f>D5*F5</f>
        <v>0</v>
      </c>
      <c r="J5" s="313">
        <f>+'Wheat Graze Out'!J5</f>
        <v>47</v>
      </c>
      <c r="K5" s="313">
        <f>+'Wheat Graze Out'!K5</f>
        <v>2.35</v>
      </c>
      <c r="L5" s="313">
        <f>+'Wheat Graze Out'!L5</f>
        <v>0.75</v>
      </c>
      <c r="M5" s="313">
        <f>+J5*K5/L5</f>
        <v>147.26666666666668</v>
      </c>
      <c r="N5" s="304">
        <f>N4</f>
        <v>0.65</v>
      </c>
      <c r="O5" s="304">
        <f>+N5*M5</f>
        <v>95.723333333333343</v>
      </c>
    </row>
    <row r="6" spans="1:15" ht="15.75" thickBot="1" x14ac:dyDescent="0.3">
      <c r="A6" s="301"/>
      <c r="B6" s="301" t="s">
        <v>7</v>
      </c>
      <c r="C6" s="301"/>
      <c r="D6" s="301">
        <v>1</v>
      </c>
      <c r="E6" s="303" t="s">
        <v>8</v>
      </c>
      <c r="F6" s="320">
        <v>0</v>
      </c>
      <c r="G6" s="327">
        <f>D6*F6</f>
        <v>0</v>
      </c>
    </row>
    <row r="7" spans="1:15" ht="15.75" thickTop="1" x14ac:dyDescent="0.25">
      <c r="A7" s="316" t="s">
        <v>9</v>
      </c>
      <c r="B7" s="316"/>
      <c r="C7" s="316"/>
      <c r="D7" s="316"/>
      <c r="E7" s="316"/>
      <c r="F7" s="316"/>
      <c r="G7" s="317">
        <f>SUM(G3:G6)</f>
        <v>623.625</v>
      </c>
    </row>
    <row r="8" spans="1:15" x14ac:dyDescent="0.25">
      <c r="A8" s="305" t="s">
        <v>10</v>
      </c>
      <c r="B8" s="305"/>
      <c r="C8" s="305"/>
      <c r="D8" s="305" t="s">
        <v>1</v>
      </c>
      <c r="E8" s="305" t="s">
        <v>2</v>
      </c>
      <c r="F8" s="305" t="s">
        <v>3</v>
      </c>
      <c r="G8" s="305" t="s">
        <v>4</v>
      </c>
    </row>
    <row r="9" spans="1:15" x14ac:dyDescent="0.25">
      <c r="A9" s="301" t="s">
        <v>11</v>
      </c>
      <c r="B9" s="301"/>
      <c r="C9" s="301"/>
      <c r="D9" s="301"/>
      <c r="E9" s="301"/>
      <c r="F9" s="301"/>
      <c r="G9" s="301"/>
    </row>
    <row r="10" spans="1:15" x14ac:dyDescent="0.25">
      <c r="A10" s="301"/>
      <c r="B10" s="301" t="s">
        <v>12</v>
      </c>
      <c r="C10" s="301"/>
      <c r="D10" s="300">
        <v>1</v>
      </c>
      <c r="E10" s="339" t="s">
        <v>8</v>
      </c>
      <c r="F10" s="31">
        <v>10</v>
      </c>
      <c r="G10" s="320">
        <f>D10*F10</f>
        <v>10</v>
      </c>
    </row>
    <row r="11" spans="1:15" x14ac:dyDescent="0.25">
      <c r="A11" s="301"/>
      <c r="B11" s="301" t="s">
        <v>13</v>
      </c>
      <c r="C11" s="301"/>
      <c r="D11" s="300">
        <v>1</v>
      </c>
      <c r="E11" s="339" t="s">
        <v>8</v>
      </c>
      <c r="F11" s="31">
        <v>60</v>
      </c>
      <c r="G11" s="320">
        <f t="shared" ref="G11:G20" si="0">D11*F11</f>
        <v>60</v>
      </c>
    </row>
    <row r="12" spans="1:15" x14ac:dyDescent="0.25">
      <c r="A12" s="301"/>
      <c r="B12" s="301" t="s">
        <v>14</v>
      </c>
      <c r="C12" s="301"/>
      <c r="D12" s="300">
        <v>1</v>
      </c>
      <c r="E12" s="339" t="s">
        <v>8</v>
      </c>
      <c r="F12" s="31">
        <v>56</v>
      </c>
      <c r="G12" s="320">
        <f t="shared" si="0"/>
        <v>56</v>
      </c>
    </row>
    <row r="13" spans="1:15" x14ac:dyDescent="0.25">
      <c r="A13" s="301"/>
      <c r="B13" s="301" t="s">
        <v>15</v>
      </c>
      <c r="C13" s="301"/>
      <c r="D13" s="300">
        <v>1</v>
      </c>
      <c r="E13" s="339" t="s">
        <v>8</v>
      </c>
      <c r="F13" s="31">
        <v>70</v>
      </c>
      <c r="G13" s="320">
        <f t="shared" si="0"/>
        <v>70</v>
      </c>
    </row>
    <row r="14" spans="1:15" x14ac:dyDescent="0.25">
      <c r="A14" s="301"/>
      <c r="B14" s="301" t="s">
        <v>16</v>
      </c>
      <c r="C14" s="301"/>
      <c r="D14" s="300">
        <v>1</v>
      </c>
      <c r="E14" s="339" t="s">
        <v>8</v>
      </c>
      <c r="F14" s="31">
        <v>19</v>
      </c>
      <c r="G14" s="320">
        <f t="shared" si="0"/>
        <v>19</v>
      </c>
    </row>
    <row r="15" spans="1:15" x14ac:dyDescent="0.25">
      <c r="A15" s="301"/>
      <c r="B15" s="301" t="s">
        <v>17</v>
      </c>
      <c r="C15" s="301"/>
      <c r="D15" s="299">
        <v>1.6</v>
      </c>
      <c r="E15" s="339" t="s">
        <v>18</v>
      </c>
      <c r="F15" s="31">
        <v>2.2000000000000002</v>
      </c>
      <c r="G15" s="320">
        <f>D15*F15</f>
        <v>3.5200000000000005</v>
      </c>
    </row>
    <row r="16" spans="1:15" x14ac:dyDescent="0.25">
      <c r="A16" s="301"/>
      <c r="B16" s="301" t="s">
        <v>19</v>
      </c>
      <c r="C16" s="301"/>
      <c r="D16" s="332">
        <v>0.1</v>
      </c>
      <c r="E16" s="339" t="s">
        <v>20</v>
      </c>
      <c r="F16" s="31">
        <f>+G15</f>
        <v>3.5200000000000005</v>
      </c>
      <c r="G16" s="320">
        <f t="shared" si="0"/>
        <v>0.35200000000000009</v>
      </c>
    </row>
    <row r="17" spans="1:9" x14ac:dyDescent="0.25">
      <c r="A17" s="301"/>
      <c r="B17" s="301" t="s">
        <v>21</v>
      </c>
      <c r="C17" s="301"/>
      <c r="D17" s="300">
        <v>1</v>
      </c>
      <c r="E17" s="339" t="s">
        <v>8</v>
      </c>
      <c r="F17" s="31">
        <f>25.25+6+0.5+3</f>
        <v>34.75</v>
      </c>
      <c r="G17" s="320">
        <f t="shared" si="0"/>
        <v>34.75</v>
      </c>
    </row>
    <row r="18" spans="1:9" x14ac:dyDescent="0.25">
      <c r="A18" s="301"/>
      <c r="B18" s="301" t="s">
        <v>22</v>
      </c>
      <c r="C18" s="301"/>
      <c r="D18" s="299">
        <v>0.1</v>
      </c>
      <c r="E18" s="339" t="s">
        <v>23</v>
      </c>
      <c r="F18" s="31">
        <v>12</v>
      </c>
      <c r="G18" s="320">
        <f t="shared" si="0"/>
        <v>1.2000000000000002</v>
      </c>
    </row>
    <row r="19" spans="1:9" x14ac:dyDescent="0.25">
      <c r="A19" s="301"/>
      <c r="B19" s="301" t="s">
        <v>24</v>
      </c>
      <c r="C19" s="301"/>
      <c r="D19" s="300">
        <v>1</v>
      </c>
      <c r="E19" s="339" t="s">
        <v>8</v>
      </c>
      <c r="F19" s="31">
        <v>0</v>
      </c>
      <c r="G19" s="320">
        <f t="shared" si="0"/>
        <v>0</v>
      </c>
    </row>
    <row r="20" spans="1:9" x14ac:dyDescent="0.25">
      <c r="A20" s="301"/>
      <c r="B20" s="301" t="s">
        <v>25</v>
      </c>
      <c r="C20" s="301"/>
      <c r="D20" s="300">
        <v>1</v>
      </c>
      <c r="E20" s="339" t="s">
        <v>8</v>
      </c>
      <c r="F20" s="31">
        <v>0</v>
      </c>
      <c r="G20" s="320">
        <f t="shared" si="0"/>
        <v>0</v>
      </c>
    </row>
    <row r="21" spans="1:9" ht="15.75" thickBot="1" x14ac:dyDescent="0.3">
      <c r="A21" s="301"/>
      <c r="B21" s="301" t="s">
        <v>26</v>
      </c>
      <c r="C21" s="301"/>
      <c r="D21" s="301"/>
      <c r="E21" s="301"/>
      <c r="F21" s="321">
        <f>+Assumptions!F35</f>
        <v>7.4999999999999997E-2</v>
      </c>
      <c r="G21" s="322">
        <f>+SUM(G10:G20)*F21/12*6</f>
        <v>9.5558250000000005</v>
      </c>
      <c r="I21" s="323"/>
    </row>
    <row r="22" spans="1:9" x14ac:dyDescent="0.25">
      <c r="A22" s="301"/>
      <c r="B22" s="301"/>
      <c r="C22" s="301"/>
      <c r="D22" s="301"/>
      <c r="E22" s="301"/>
      <c r="F22" s="301"/>
      <c r="G22" s="320">
        <f>SUM(G10:G21)</f>
        <v>264.37782500000003</v>
      </c>
    </row>
    <row r="23" spans="1:9" x14ac:dyDescent="0.25">
      <c r="A23" s="301" t="s">
        <v>27</v>
      </c>
      <c r="B23" s="301"/>
      <c r="C23" s="301"/>
      <c r="D23" s="301"/>
      <c r="E23" s="301"/>
      <c r="F23" s="301"/>
      <c r="G23" s="301"/>
      <c r="I23" s="323"/>
    </row>
    <row r="24" spans="1:9" x14ac:dyDescent="0.25">
      <c r="A24" s="301"/>
      <c r="B24" s="301" t="s">
        <v>28</v>
      </c>
      <c r="C24" s="301"/>
      <c r="D24" s="301">
        <v>1</v>
      </c>
      <c r="E24" s="301" t="s">
        <v>8</v>
      </c>
      <c r="F24" s="31">
        <v>60</v>
      </c>
      <c r="G24" s="320">
        <f>+D24*F24</f>
        <v>60</v>
      </c>
    </row>
    <row r="25" spans="1:9" x14ac:dyDescent="0.25">
      <c r="A25" s="301"/>
      <c r="B25" s="301" t="s">
        <v>29</v>
      </c>
      <c r="C25" s="301"/>
      <c r="D25" s="301"/>
      <c r="E25" s="301"/>
      <c r="F25" s="324"/>
      <c r="G25" s="301"/>
    </row>
    <row r="26" spans="1:9" ht="15.75" thickBot="1" x14ac:dyDescent="0.3">
      <c r="A26" s="301"/>
      <c r="B26" s="301"/>
      <c r="C26" s="301" t="s">
        <v>30</v>
      </c>
      <c r="D26" s="301">
        <v>1</v>
      </c>
      <c r="E26" s="301" t="s">
        <v>8</v>
      </c>
      <c r="F26" s="31">
        <v>0</v>
      </c>
      <c r="G26" s="322">
        <f>+D26*F26</f>
        <v>0</v>
      </c>
    </row>
    <row r="27" spans="1:9" ht="15.75" thickBot="1" x14ac:dyDescent="0.3">
      <c r="A27" s="301"/>
      <c r="B27" s="301"/>
      <c r="C27" s="301"/>
      <c r="D27" s="301" t="s">
        <v>31</v>
      </c>
      <c r="E27" s="301"/>
      <c r="F27" s="324"/>
      <c r="G27" s="325">
        <f>+G24+G26</f>
        <v>60</v>
      </c>
    </row>
    <row r="28" spans="1:9" ht="15.75" thickTop="1" x14ac:dyDescent="0.25">
      <c r="A28" s="301"/>
      <c r="B28" s="301"/>
      <c r="C28" s="301"/>
      <c r="D28" s="301"/>
      <c r="E28" s="301"/>
      <c r="F28" s="324"/>
      <c r="G28" s="301"/>
    </row>
    <row r="29" spans="1:9" ht="15.75" thickBot="1" x14ac:dyDescent="0.3">
      <c r="A29" s="301" t="s">
        <v>32</v>
      </c>
      <c r="B29" s="301"/>
      <c r="C29" s="301"/>
      <c r="D29" s="301">
        <v>1</v>
      </c>
      <c r="E29" s="301" t="s">
        <v>8</v>
      </c>
      <c r="F29" s="31">
        <v>0</v>
      </c>
      <c r="G29" s="326">
        <f>+D29*F29</f>
        <v>0</v>
      </c>
    </row>
    <row r="30" spans="1:9" ht="15.75" thickTop="1" x14ac:dyDescent="0.25">
      <c r="A30" s="301"/>
      <c r="B30" s="301"/>
      <c r="C30" s="301"/>
      <c r="D30" s="301"/>
      <c r="E30" s="301"/>
      <c r="F30" s="301"/>
      <c r="G30" s="301"/>
    </row>
    <row r="31" spans="1:9" ht="15.75" thickBot="1" x14ac:dyDescent="0.3">
      <c r="A31" s="301" t="s">
        <v>33</v>
      </c>
      <c r="B31" s="301"/>
      <c r="C31" s="301"/>
      <c r="D31" s="301"/>
      <c r="E31" s="301"/>
      <c r="F31" s="301"/>
      <c r="G31" s="327">
        <f>+G22+G27+G29</f>
        <v>324.37782500000003</v>
      </c>
    </row>
    <row r="32" spans="1:9" ht="15.75" thickTop="1" x14ac:dyDescent="0.25">
      <c r="A32" s="301"/>
      <c r="B32" s="301"/>
      <c r="C32" s="301"/>
      <c r="D32" s="301"/>
      <c r="E32" s="301"/>
      <c r="F32" s="301"/>
      <c r="G32" s="301"/>
    </row>
    <row r="33" spans="1:7" x14ac:dyDescent="0.25">
      <c r="A33" s="301" t="s">
        <v>34</v>
      </c>
      <c r="B33" s="301"/>
      <c r="C33" s="301"/>
      <c r="D33" s="301"/>
      <c r="E33" s="301"/>
      <c r="F33" s="301"/>
      <c r="G33" s="320">
        <f>+G7-G31</f>
        <v>299.24717499999997</v>
      </c>
    </row>
    <row r="34" spans="1:7" x14ac:dyDescent="0.25">
      <c r="A34" s="301"/>
      <c r="B34" s="301" t="s">
        <v>35</v>
      </c>
      <c r="C34" s="301"/>
      <c r="D34" s="301"/>
      <c r="E34" s="301" t="s">
        <v>6</v>
      </c>
      <c r="F34" s="328">
        <f>IF(D3=0,"n/a",(G31-G4-G5-G6)/D3)</f>
        <v>4.5125470833333337</v>
      </c>
      <c r="G34" s="301"/>
    </row>
    <row r="35" spans="1:7" x14ac:dyDescent="0.25">
      <c r="A35" s="301"/>
      <c r="B35" s="301"/>
      <c r="C35" s="301"/>
      <c r="D35" s="301"/>
      <c r="E35" s="301"/>
      <c r="F35" s="301"/>
      <c r="G35" s="301"/>
    </row>
    <row r="36" spans="1:7" x14ac:dyDescent="0.25">
      <c r="A36" s="305" t="s">
        <v>36</v>
      </c>
      <c r="B36" s="305"/>
      <c r="C36" s="305"/>
      <c r="D36" s="305" t="s">
        <v>1</v>
      </c>
      <c r="E36" s="305" t="s">
        <v>2</v>
      </c>
      <c r="F36" s="305" t="s">
        <v>3</v>
      </c>
      <c r="G36" s="305" t="s">
        <v>4</v>
      </c>
    </row>
    <row r="37" spans="1:7" x14ac:dyDescent="0.25">
      <c r="A37" s="301"/>
      <c r="B37" s="301" t="s">
        <v>37</v>
      </c>
      <c r="C37" s="301"/>
      <c r="D37" s="301">
        <v>1</v>
      </c>
      <c r="E37" s="301" t="s">
        <v>8</v>
      </c>
      <c r="F37" s="31">
        <v>58</v>
      </c>
      <c r="G37" s="320">
        <f>D37*F37</f>
        <v>58</v>
      </c>
    </row>
    <row r="38" spans="1:7" x14ac:dyDescent="0.25">
      <c r="A38" s="301"/>
      <c r="B38" s="301" t="s">
        <v>38</v>
      </c>
      <c r="C38" s="301"/>
      <c r="D38" s="301">
        <v>1</v>
      </c>
      <c r="E38" s="301" t="s">
        <v>8</v>
      </c>
      <c r="F38" s="31">
        <f>+'Wheat Graze Out'!F38</f>
        <v>3.74</v>
      </c>
      <c r="G38" s="320">
        <f t="shared" ref="G38:G45" si="1">D38*F38</f>
        <v>3.74</v>
      </c>
    </row>
    <row r="39" spans="1:7" x14ac:dyDescent="0.25">
      <c r="A39" s="301"/>
      <c r="B39" s="301" t="s">
        <v>39</v>
      </c>
      <c r="C39" s="301"/>
      <c r="D39" s="301">
        <v>1</v>
      </c>
      <c r="E39" s="301" t="s">
        <v>8</v>
      </c>
      <c r="F39" s="31">
        <f>+'Wheat Graze Out'!F39</f>
        <v>0</v>
      </c>
      <c r="G39" s="320">
        <f t="shared" si="1"/>
        <v>0</v>
      </c>
    </row>
    <row r="40" spans="1:7" x14ac:dyDescent="0.25">
      <c r="A40" s="301"/>
      <c r="B40" s="301" t="s">
        <v>40</v>
      </c>
      <c r="C40" s="301"/>
      <c r="D40" s="301">
        <v>1</v>
      </c>
      <c r="E40" s="301" t="s">
        <v>8</v>
      </c>
      <c r="F40" s="31">
        <v>90</v>
      </c>
      <c r="G40" s="320">
        <f t="shared" si="1"/>
        <v>90</v>
      </c>
    </row>
    <row r="41" spans="1:7" x14ac:dyDescent="0.25">
      <c r="A41" s="301"/>
      <c r="B41" s="301" t="s">
        <v>41</v>
      </c>
      <c r="C41" s="301"/>
      <c r="D41" s="301">
        <v>1</v>
      </c>
      <c r="E41" s="301" t="s">
        <v>8</v>
      </c>
      <c r="F41" s="31">
        <f>+'Wheat Graze Out'!F41</f>
        <v>0</v>
      </c>
      <c r="G41" s="320">
        <f t="shared" si="1"/>
        <v>0</v>
      </c>
    </row>
    <row r="42" spans="1:7" x14ac:dyDescent="0.25">
      <c r="A42" s="301"/>
      <c r="B42" s="301" t="s">
        <v>42</v>
      </c>
      <c r="C42" s="301"/>
      <c r="D42" s="301">
        <v>1</v>
      </c>
      <c r="E42" s="301" t="s">
        <v>8</v>
      </c>
      <c r="F42" s="31">
        <f>+'Wheat Graze Out'!F42</f>
        <v>0</v>
      </c>
      <c r="G42" s="320">
        <f t="shared" si="1"/>
        <v>0</v>
      </c>
    </row>
    <row r="43" spans="1:7" x14ac:dyDescent="0.25">
      <c r="A43" s="301"/>
      <c r="B43" s="28" t="s">
        <v>43</v>
      </c>
      <c r="C43" s="28"/>
      <c r="D43" s="28">
        <v>1</v>
      </c>
      <c r="E43" s="28" t="s">
        <v>8</v>
      </c>
      <c r="F43" s="31">
        <f>+'Wheat Graze Out'!F43</f>
        <v>0</v>
      </c>
      <c r="G43" s="320">
        <f t="shared" si="1"/>
        <v>0</v>
      </c>
    </row>
    <row r="44" spans="1:7" x14ac:dyDescent="0.25">
      <c r="A44" s="301"/>
      <c r="B44" s="28" t="s">
        <v>43</v>
      </c>
      <c r="C44" s="28"/>
      <c r="D44" s="28">
        <v>1</v>
      </c>
      <c r="E44" s="28" t="s">
        <v>8</v>
      </c>
      <c r="F44" s="31">
        <f>+'Wheat Graze Out'!F44</f>
        <v>0</v>
      </c>
      <c r="G44" s="320">
        <f t="shared" si="1"/>
        <v>0</v>
      </c>
    </row>
    <row r="45" spans="1:7" ht="15.75" thickBot="1" x14ac:dyDescent="0.3">
      <c r="A45" s="301"/>
      <c r="B45" s="28" t="s">
        <v>43</v>
      </c>
      <c r="C45" s="28"/>
      <c r="D45" s="28">
        <v>1</v>
      </c>
      <c r="E45" s="28" t="s">
        <v>8</v>
      </c>
      <c r="F45" s="31">
        <f>+'Wheat Graze Out'!F45</f>
        <v>0</v>
      </c>
      <c r="G45" s="327">
        <f t="shared" si="1"/>
        <v>0</v>
      </c>
    </row>
    <row r="46" spans="1:7" ht="15.75" thickTop="1" x14ac:dyDescent="0.25">
      <c r="A46" s="301"/>
      <c r="B46" s="301"/>
      <c r="C46" s="301"/>
      <c r="D46" s="301"/>
      <c r="E46" s="301"/>
      <c r="F46" s="301"/>
      <c r="G46" s="301"/>
    </row>
    <row r="47" spans="1:7" ht="15.75" thickBot="1" x14ac:dyDescent="0.3">
      <c r="A47" s="301" t="s">
        <v>44</v>
      </c>
      <c r="B47" s="301"/>
      <c r="C47" s="301"/>
      <c r="D47" s="301"/>
      <c r="E47" s="301"/>
      <c r="F47" s="301"/>
      <c r="G47" s="327">
        <f>SUM(G37:G45)</f>
        <v>151.74</v>
      </c>
    </row>
    <row r="48" spans="1:7" ht="15.75" thickTop="1" x14ac:dyDescent="0.25">
      <c r="A48" s="301"/>
      <c r="B48" s="301"/>
      <c r="C48" s="301"/>
      <c r="D48" s="301"/>
      <c r="E48" s="301"/>
      <c r="F48" s="301"/>
      <c r="G48" s="301"/>
    </row>
    <row r="49" spans="1:7" ht="15.75" thickBot="1" x14ac:dyDescent="0.3">
      <c r="A49" s="301" t="s">
        <v>45</v>
      </c>
      <c r="B49" s="301"/>
      <c r="C49" s="301"/>
      <c r="D49" s="301"/>
      <c r="E49" s="301"/>
      <c r="F49" s="301"/>
      <c r="G49" s="327">
        <f>+G31+G47</f>
        <v>476.11782500000004</v>
      </c>
    </row>
    <row r="50" spans="1:7" ht="15.75" thickTop="1" x14ac:dyDescent="0.25">
      <c r="A50" s="301"/>
      <c r="B50" s="301"/>
      <c r="C50" s="301"/>
      <c r="D50" s="301"/>
      <c r="E50" s="301"/>
      <c r="F50" s="301"/>
      <c r="G50" s="301"/>
    </row>
    <row r="51" spans="1:7" x14ac:dyDescent="0.25">
      <c r="A51" s="301" t="s">
        <v>46</v>
      </c>
      <c r="B51" s="301"/>
      <c r="C51" s="301"/>
      <c r="D51" s="301"/>
      <c r="E51" s="301"/>
      <c r="F51" s="301"/>
      <c r="G51" s="320">
        <f>+G7-G49</f>
        <v>147.50717499999996</v>
      </c>
    </row>
    <row r="52" spans="1:7" ht="15.75" thickBot="1" x14ac:dyDescent="0.3">
      <c r="A52" s="330" t="s">
        <v>47</v>
      </c>
      <c r="B52" s="330"/>
      <c r="C52" s="330"/>
      <c r="D52" s="330"/>
      <c r="E52" s="330" t="s">
        <v>6</v>
      </c>
      <c r="F52" s="331">
        <f>IF(D3=0,"n/a",(G49-G4-G5-G6)/D3)</f>
        <v>7.0415470833333336</v>
      </c>
      <c r="G52" s="330"/>
    </row>
    <row r="53" spans="1:7" ht="15.75" thickTop="1" x14ac:dyDescent="0.25"/>
  </sheetData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C0798-DA99-4871-A4DB-AD546282A481}">
  <dimension ref="B1:AP51"/>
  <sheetViews>
    <sheetView workbookViewId="0">
      <selection activeCell="Z20" sqref="Z20"/>
    </sheetView>
  </sheetViews>
  <sheetFormatPr defaultColWidth="8.85546875" defaultRowHeight="15" x14ac:dyDescent="0.25"/>
  <cols>
    <col min="1" max="1" width="3.7109375" style="1" customWidth="1"/>
    <col min="2" max="4" width="4.140625" style="1" customWidth="1"/>
    <col min="5" max="5" width="5.140625" style="1" customWidth="1"/>
    <col min="6" max="6" width="5" style="1" customWidth="1"/>
    <col min="7" max="7" width="7" style="1" customWidth="1"/>
    <col min="8" max="8" width="2.42578125" style="1" customWidth="1"/>
    <col min="9" max="13" width="4.140625" style="1" customWidth="1"/>
    <col min="14" max="14" width="7" style="1" customWidth="1"/>
    <col min="15" max="15" width="2.5703125" style="1" customWidth="1"/>
    <col min="16" max="20" width="4.140625" style="1" customWidth="1"/>
    <col min="21" max="21" width="6.140625" style="1" customWidth="1"/>
    <col min="22" max="22" width="1.85546875" style="1" customWidth="1"/>
    <col min="23" max="25" width="4.140625" style="1" customWidth="1"/>
    <col min="26" max="26" width="4.5703125" style="1" bestFit="1" customWidth="1"/>
    <col min="27" max="27" width="4.140625" style="1" customWidth="1"/>
    <col min="28" max="28" width="6.85546875" style="1" customWidth="1"/>
    <col min="29" max="29" width="2.42578125" style="1" customWidth="1"/>
    <col min="30" max="34" width="4.140625" style="1" customWidth="1"/>
    <col min="35" max="35" width="5.140625" style="1" customWidth="1"/>
    <col min="36" max="36" width="2.85546875" style="1" customWidth="1"/>
    <col min="37" max="37" width="11.140625" style="1" customWidth="1"/>
    <col min="38" max="39" width="4.140625" style="1" customWidth="1"/>
    <col min="40" max="40" width="4.5703125" style="1" bestFit="1" customWidth="1"/>
    <col min="41" max="41" width="4.140625" style="1" customWidth="1"/>
    <col min="42" max="42" width="5.140625" style="1" customWidth="1"/>
    <col min="43" max="16384" width="8.85546875" style="1"/>
  </cols>
  <sheetData>
    <row r="1" spans="2:42" ht="15.75" thickBot="1" x14ac:dyDescent="0.3"/>
    <row r="2" spans="2:42" x14ac:dyDescent="0.25">
      <c r="B2" s="358" t="s">
        <v>57</v>
      </c>
      <c r="C2" s="359"/>
      <c r="D2" s="359"/>
      <c r="E2" s="359"/>
      <c r="F2" s="359"/>
      <c r="G2" s="360"/>
      <c r="H2" s="3"/>
      <c r="I2" s="358" t="s">
        <v>90</v>
      </c>
      <c r="J2" s="359"/>
      <c r="K2" s="359"/>
      <c r="L2" s="359"/>
      <c r="M2" s="359"/>
      <c r="N2" s="360"/>
      <c r="O2" s="10"/>
      <c r="P2" s="358" t="s">
        <v>91</v>
      </c>
      <c r="Q2" s="359"/>
      <c r="R2" s="359"/>
      <c r="S2" s="359"/>
      <c r="T2" s="359"/>
      <c r="U2" s="360"/>
      <c r="W2" s="358" t="s">
        <v>92</v>
      </c>
      <c r="X2" s="359"/>
      <c r="Y2" s="359"/>
      <c r="Z2" s="359"/>
      <c r="AA2" s="359"/>
      <c r="AB2" s="360"/>
      <c r="AD2" s="358" t="s">
        <v>124</v>
      </c>
      <c r="AE2" s="359"/>
      <c r="AF2" s="359"/>
      <c r="AG2" s="359"/>
      <c r="AH2" s="359"/>
      <c r="AI2" s="360"/>
      <c r="AK2" s="358" t="s">
        <v>137</v>
      </c>
      <c r="AL2" s="359"/>
      <c r="AM2" s="359"/>
      <c r="AN2" s="359"/>
      <c r="AO2" s="359"/>
      <c r="AP2" s="360"/>
    </row>
    <row r="3" spans="2:42" x14ac:dyDescent="0.25">
      <c r="B3" s="12" t="s">
        <v>84</v>
      </c>
      <c r="C3" s="16"/>
      <c r="D3" s="16"/>
      <c r="E3" s="16"/>
      <c r="F3" s="16"/>
      <c r="G3" s="45">
        <f>+'Wheat Grain'!D3</f>
        <v>40</v>
      </c>
      <c r="I3" s="12" t="s">
        <v>84</v>
      </c>
      <c r="J3" s="16"/>
      <c r="K3" s="16"/>
      <c r="L3" s="16"/>
      <c r="M3" s="16"/>
      <c r="N3" s="45">
        <f>+'Wheat Dual  ~700Lb'!D3</f>
        <v>35</v>
      </c>
      <c r="O3" s="2"/>
      <c r="P3" s="12" t="s">
        <v>84</v>
      </c>
      <c r="Q3" s="16"/>
      <c r="R3" s="16"/>
      <c r="S3" s="16"/>
      <c r="T3" s="16"/>
      <c r="U3" s="45">
        <f>+'Wheat Dual ~800Lb'!D3</f>
        <v>35</v>
      </c>
      <c r="W3" s="83" t="s">
        <v>84</v>
      </c>
      <c r="X3" s="84"/>
      <c r="Y3" s="84"/>
      <c r="Z3" s="84"/>
      <c r="AA3" s="84"/>
      <c r="AB3" s="45">
        <f>+Assumptions!F11</f>
        <v>0</v>
      </c>
      <c r="AD3" s="83"/>
      <c r="AE3" s="84"/>
      <c r="AF3" s="84"/>
      <c r="AG3" s="84"/>
      <c r="AH3" s="84"/>
      <c r="AI3" s="45"/>
      <c r="AK3" s="83"/>
      <c r="AL3" s="84"/>
      <c r="AM3" s="84"/>
      <c r="AN3" s="84"/>
      <c r="AO3" s="84"/>
      <c r="AP3" s="45"/>
    </row>
    <row r="4" spans="2:42" x14ac:dyDescent="0.25">
      <c r="B4" s="12" t="s">
        <v>85</v>
      </c>
      <c r="C4" s="16"/>
      <c r="D4" s="16"/>
      <c r="E4" s="16"/>
      <c r="F4" s="16"/>
      <c r="G4" s="45">
        <v>0</v>
      </c>
      <c r="I4" s="12" t="s">
        <v>85</v>
      </c>
      <c r="J4" s="16"/>
      <c r="K4" s="16"/>
      <c r="L4" s="16"/>
      <c r="M4" s="16"/>
      <c r="N4" s="45">
        <f>+'Wheat Dual  ~700Lb'!M4</f>
        <v>82.5</v>
      </c>
      <c r="O4" s="2"/>
      <c r="P4" s="12" t="s">
        <v>85</v>
      </c>
      <c r="Q4" s="16"/>
      <c r="R4" s="16"/>
      <c r="S4" s="16"/>
      <c r="T4" s="16"/>
      <c r="U4" s="45">
        <f>+'Wheat Dual ~800Lb'!D4+'Wheat Dual ~800Lb'!D5</f>
        <v>137.72500000000002</v>
      </c>
      <c r="W4" s="83" t="s">
        <v>85</v>
      </c>
      <c r="X4" s="84"/>
      <c r="Y4" s="84"/>
      <c r="Z4" s="84"/>
      <c r="AA4" s="84"/>
      <c r="AB4" s="45">
        <f>+'Wheat Graze Out'!M4+'Wheat Graze Out'!M5</f>
        <v>229.76666666666668</v>
      </c>
      <c r="AD4" s="83" t="s">
        <v>85</v>
      </c>
      <c r="AE4" s="84"/>
      <c r="AF4" s="84"/>
      <c r="AG4" s="84"/>
      <c r="AH4" s="84"/>
      <c r="AI4" s="45">
        <f>+'Fescue Established'!K4</f>
        <v>211.0497191011236</v>
      </c>
      <c r="AK4" s="83" t="s">
        <v>85</v>
      </c>
      <c r="AL4" s="84"/>
      <c r="AM4" s="84"/>
      <c r="AN4" s="84"/>
      <c r="AO4" s="84"/>
      <c r="AP4" s="45">
        <f>+Triticale!M5+Triticale!M4</f>
        <v>262.77785454088678</v>
      </c>
    </row>
    <row r="5" spans="2:42" x14ac:dyDescent="0.25">
      <c r="B5" s="12" t="s">
        <v>60</v>
      </c>
      <c r="C5" s="16"/>
      <c r="D5" s="16"/>
      <c r="E5" s="16"/>
      <c r="F5" s="16"/>
      <c r="G5" s="49">
        <f>+'Wheat Grain'!F3</f>
        <v>9.5</v>
      </c>
      <c r="I5" s="12" t="s">
        <v>60</v>
      </c>
      <c r="J5" s="16"/>
      <c r="K5" s="16"/>
      <c r="L5" s="16"/>
      <c r="M5" s="16"/>
      <c r="N5" s="49">
        <f>+G5</f>
        <v>9.5</v>
      </c>
      <c r="P5" s="12" t="s">
        <v>60</v>
      </c>
      <c r="Q5" s="16"/>
      <c r="R5" s="16"/>
      <c r="S5" s="16"/>
      <c r="T5" s="16"/>
      <c r="U5" s="101">
        <f>+N5</f>
        <v>9.5</v>
      </c>
      <c r="W5" s="83" t="s">
        <v>60</v>
      </c>
      <c r="X5" s="84"/>
      <c r="Y5" s="84"/>
      <c r="Z5" s="84"/>
      <c r="AA5" s="84"/>
      <c r="AB5" s="40"/>
      <c r="AD5" s="83"/>
      <c r="AE5" s="84"/>
      <c r="AF5" s="84"/>
      <c r="AG5" s="84"/>
      <c r="AH5" s="84"/>
      <c r="AI5" s="40"/>
      <c r="AK5" s="83"/>
      <c r="AL5" s="84"/>
      <c r="AM5" s="84"/>
      <c r="AN5" s="84"/>
      <c r="AO5" s="84"/>
      <c r="AP5" s="40"/>
    </row>
    <row r="6" spans="2:42" x14ac:dyDescent="0.25">
      <c r="B6" s="12" t="s">
        <v>63</v>
      </c>
      <c r="C6" s="16"/>
      <c r="D6" s="16"/>
      <c r="E6" s="16"/>
      <c r="F6" s="16"/>
      <c r="G6" s="50">
        <v>1</v>
      </c>
      <c r="I6" s="12" t="s">
        <v>63</v>
      </c>
      <c r="J6" s="16"/>
      <c r="K6" s="16"/>
      <c r="L6" s="16"/>
      <c r="M6" s="16"/>
      <c r="N6" s="50">
        <v>1</v>
      </c>
      <c r="P6" s="12" t="s">
        <v>63</v>
      </c>
      <c r="Q6" s="16"/>
      <c r="R6" s="16"/>
      <c r="S6" s="16"/>
      <c r="T6" s="16"/>
      <c r="U6" s="51">
        <f>+'Wheat Dual ~800Lb'!H3</f>
        <v>0.625</v>
      </c>
      <c r="W6" s="83" t="s">
        <v>63</v>
      </c>
      <c r="X6" s="84"/>
      <c r="Y6" s="84"/>
      <c r="Z6" s="84"/>
      <c r="AA6" s="84"/>
      <c r="AB6" s="85">
        <v>0</v>
      </c>
      <c r="AD6" s="83"/>
      <c r="AE6" s="84"/>
      <c r="AF6" s="84"/>
      <c r="AG6" s="84"/>
      <c r="AH6" s="84"/>
      <c r="AI6" s="85"/>
      <c r="AK6" s="83"/>
      <c r="AL6" s="84"/>
      <c r="AM6" s="84"/>
      <c r="AN6" s="84"/>
      <c r="AO6" s="84"/>
      <c r="AP6" s="85"/>
    </row>
    <row r="7" spans="2:42" x14ac:dyDescent="0.25">
      <c r="B7" s="12" t="s">
        <v>64</v>
      </c>
      <c r="C7" s="16"/>
      <c r="D7" s="16"/>
      <c r="E7" s="16"/>
      <c r="F7" s="16"/>
      <c r="G7" s="54">
        <f>+'Wheat Grain'!G7</f>
        <v>380</v>
      </c>
      <c r="I7" s="12" t="s">
        <v>64</v>
      </c>
      <c r="J7" s="16"/>
      <c r="K7" s="16"/>
      <c r="L7" s="16"/>
      <c r="M7" s="16"/>
      <c r="N7" s="54">
        <f>+'Wheat Dual  ~700Lb'!G3</f>
        <v>332.5</v>
      </c>
      <c r="O7" s="5"/>
      <c r="P7" s="12" t="s">
        <v>64</v>
      </c>
      <c r="Q7" s="16"/>
      <c r="R7" s="16"/>
      <c r="S7" s="16"/>
      <c r="T7" s="16"/>
      <c r="U7" s="54">
        <f>+'Wheat Dual ~800Lb'!G3</f>
        <v>207.8125</v>
      </c>
      <c r="W7" s="83" t="s">
        <v>64</v>
      </c>
      <c r="X7" s="84"/>
      <c r="Y7" s="84"/>
      <c r="Z7" s="84"/>
      <c r="AA7" s="84"/>
      <c r="AB7" s="101">
        <v>0</v>
      </c>
      <c r="AD7" s="83"/>
      <c r="AE7" s="84"/>
      <c r="AF7" s="84"/>
      <c r="AG7" s="84"/>
      <c r="AH7" s="84"/>
      <c r="AI7" s="101"/>
      <c r="AK7" s="83"/>
      <c r="AL7" s="84"/>
      <c r="AM7" s="84"/>
      <c r="AN7" s="84"/>
      <c r="AO7" s="84"/>
      <c r="AP7" s="101"/>
    </row>
    <row r="8" spans="2:42" x14ac:dyDescent="0.25">
      <c r="B8" s="12"/>
      <c r="C8" s="16"/>
      <c r="D8" s="16"/>
      <c r="E8" s="16"/>
      <c r="F8" s="16"/>
      <c r="G8" s="39"/>
      <c r="I8" s="12" t="s">
        <v>65</v>
      </c>
      <c r="J8" s="16"/>
      <c r="K8" s="16"/>
      <c r="L8" s="16"/>
      <c r="M8" s="16"/>
      <c r="N8" s="39">
        <f>+'Wheat Dual  ~700Lb'!G4</f>
        <v>53.625</v>
      </c>
      <c r="O8" s="5"/>
      <c r="P8" s="12" t="s">
        <v>65</v>
      </c>
      <c r="Q8" s="16"/>
      <c r="R8" s="16"/>
      <c r="S8" s="16"/>
      <c r="T8" s="16"/>
      <c r="U8" s="54">
        <f>+'Wheat Dual ~800Lb'!G4+'Wheat Dual ~800Lb'!G5</f>
        <v>89.521250000000009</v>
      </c>
      <c r="W8" s="83" t="s">
        <v>65</v>
      </c>
      <c r="X8" s="84"/>
      <c r="Y8" s="84"/>
      <c r="Z8" s="84"/>
      <c r="AA8" s="84"/>
      <c r="AB8" s="58">
        <f>+'Wheat Graze Out'!G4+'Wheat Graze Out'!G5</f>
        <v>149.34833333333336</v>
      </c>
      <c r="AC8" s="19"/>
      <c r="AD8" s="83" t="s">
        <v>65</v>
      </c>
      <c r="AE8" s="84"/>
      <c r="AF8" s="84"/>
      <c r="AG8" s="84"/>
      <c r="AH8" s="84"/>
      <c r="AI8" s="58">
        <f>+'Fescue Established'!G4</f>
        <v>137.18231741573035</v>
      </c>
      <c r="AK8" s="83" t="s">
        <v>65</v>
      </c>
      <c r="AL8" s="84"/>
      <c r="AM8" s="84"/>
      <c r="AN8" s="84"/>
      <c r="AO8" s="84"/>
      <c r="AP8" s="58">
        <f>+Triticale!G7</f>
        <v>170.80560545157641</v>
      </c>
    </row>
    <row r="9" spans="2:42" x14ac:dyDescent="0.25">
      <c r="B9" s="42" t="s">
        <v>72</v>
      </c>
      <c r="C9" s="55"/>
      <c r="D9" s="55"/>
      <c r="E9" s="55"/>
      <c r="F9" s="55"/>
      <c r="G9" s="57">
        <f>+G7+G8</f>
        <v>380</v>
      </c>
      <c r="I9" s="42" t="s">
        <v>72</v>
      </c>
      <c r="J9" s="55"/>
      <c r="K9" s="55"/>
      <c r="L9" s="55"/>
      <c r="M9" s="55"/>
      <c r="N9" s="57">
        <f>+N7+N8</f>
        <v>386.125</v>
      </c>
      <c r="O9" s="6"/>
      <c r="P9" s="42" t="s">
        <v>72</v>
      </c>
      <c r="Q9" s="55"/>
      <c r="R9" s="55"/>
      <c r="S9" s="55"/>
      <c r="T9" s="55"/>
      <c r="U9" s="57">
        <f>+U7+U8</f>
        <v>297.33375000000001</v>
      </c>
      <c r="W9" s="42" t="s">
        <v>72</v>
      </c>
      <c r="X9" s="55"/>
      <c r="Y9" s="55"/>
      <c r="Z9" s="55"/>
      <c r="AA9" s="55"/>
      <c r="AB9" s="57">
        <f>+AB7+AB8</f>
        <v>149.34833333333336</v>
      </c>
      <c r="AC9" s="19"/>
      <c r="AD9" s="42" t="s">
        <v>72</v>
      </c>
      <c r="AE9" s="55"/>
      <c r="AF9" s="55"/>
      <c r="AG9" s="55"/>
      <c r="AH9" s="55"/>
      <c r="AI9" s="57">
        <f>+AI7+AI8</f>
        <v>137.18231741573035</v>
      </c>
      <c r="AK9" s="42" t="s">
        <v>72</v>
      </c>
      <c r="AL9" s="55"/>
      <c r="AM9" s="55"/>
      <c r="AN9" s="55"/>
      <c r="AO9" s="55"/>
      <c r="AP9" s="57">
        <f>+AP7+AP8</f>
        <v>170.80560545157641</v>
      </c>
    </row>
    <row r="10" spans="2:42" x14ac:dyDescent="0.25">
      <c r="B10" s="12"/>
      <c r="C10" s="16"/>
      <c r="D10" s="16"/>
      <c r="E10" s="16"/>
      <c r="F10" s="16"/>
      <c r="G10" s="13"/>
      <c r="I10" s="12"/>
      <c r="J10" s="16"/>
      <c r="K10" s="16"/>
      <c r="L10" s="16"/>
      <c r="M10" s="16"/>
      <c r="N10" s="13"/>
      <c r="P10" s="12"/>
      <c r="Q10" s="16"/>
      <c r="R10" s="16"/>
      <c r="S10" s="16"/>
      <c r="T10" s="16"/>
      <c r="U10" s="13"/>
      <c r="W10" s="83"/>
      <c r="X10" s="84"/>
      <c r="Y10" s="84"/>
      <c r="Z10" s="84"/>
      <c r="AA10" s="84"/>
      <c r="AB10" s="86"/>
      <c r="AD10" s="83"/>
      <c r="AE10" s="84"/>
      <c r="AF10" s="84"/>
      <c r="AG10" s="84"/>
      <c r="AH10" s="84"/>
      <c r="AI10" s="86"/>
      <c r="AK10" s="83"/>
      <c r="AL10" s="84"/>
      <c r="AM10" s="84"/>
      <c r="AN10" s="84"/>
      <c r="AO10" s="84"/>
      <c r="AP10" s="86"/>
    </row>
    <row r="11" spans="2:42" x14ac:dyDescent="0.25">
      <c r="B11" s="12" t="s">
        <v>11</v>
      </c>
      <c r="C11" s="16"/>
      <c r="D11" s="16"/>
      <c r="E11" s="16"/>
      <c r="F11" s="16"/>
      <c r="G11" s="58">
        <f>+'Wheat Grain'!G22</f>
        <v>196.09787499999999</v>
      </c>
      <c r="I11" s="12" t="s">
        <v>11</v>
      </c>
      <c r="J11" s="16"/>
      <c r="K11" s="16"/>
      <c r="L11" s="16"/>
      <c r="M11" s="16"/>
      <c r="N11" s="58">
        <f>+'Wheat Dual  ~700Lb'!G22</f>
        <v>220.943095</v>
      </c>
      <c r="O11" s="5"/>
      <c r="P11" s="12" t="s">
        <v>11</v>
      </c>
      <c r="Q11" s="16"/>
      <c r="R11" s="16"/>
      <c r="S11" s="16"/>
      <c r="T11" s="16"/>
      <c r="U11" s="58">
        <f>+'Wheat Dual ~800Lb'!G22</f>
        <v>220.943095</v>
      </c>
      <c r="W11" s="83" t="s">
        <v>11</v>
      </c>
      <c r="X11" s="84"/>
      <c r="Y11" s="84"/>
      <c r="Z11" s="84"/>
      <c r="AA11" s="84"/>
      <c r="AB11" s="58">
        <f>+'Wheat Graze Out'!G22</f>
        <v>215.07374999999999</v>
      </c>
      <c r="AC11" s="19"/>
      <c r="AD11" s="83" t="s">
        <v>11</v>
      </c>
      <c r="AE11" s="84"/>
      <c r="AF11" s="84"/>
      <c r="AG11" s="84"/>
      <c r="AH11" s="84"/>
      <c r="AI11" s="58">
        <f>+'Fescue Established'!G22</f>
        <v>48.197906976744186</v>
      </c>
      <c r="AK11" s="83" t="s">
        <v>11</v>
      </c>
      <c r="AL11" s="84"/>
      <c r="AM11" s="84"/>
      <c r="AN11" s="84"/>
      <c r="AO11" s="84"/>
      <c r="AP11" s="58">
        <f>+Triticale!G22</f>
        <v>143.22687500000001</v>
      </c>
    </row>
    <row r="12" spans="2:42" x14ac:dyDescent="0.25">
      <c r="B12" s="12" t="s">
        <v>61</v>
      </c>
      <c r="C12" s="16"/>
      <c r="D12" s="16"/>
      <c r="E12" s="16"/>
      <c r="F12" s="16"/>
      <c r="G12" s="58">
        <f>+'Wheat Grain'!G27</f>
        <v>49.6</v>
      </c>
      <c r="I12" s="12" t="s">
        <v>61</v>
      </c>
      <c r="J12" s="16"/>
      <c r="K12" s="16"/>
      <c r="L12" s="16"/>
      <c r="M12" s="16"/>
      <c r="N12" s="58">
        <f>+'Wheat Dual  ~700Lb'!G24</f>
        <v>49.6</v>
      </c>
      <c r="O12" s="5"/>
      <c r="P12" s="12" t="s">
        <v>61</v>
      </c>
      <c r="Q12" s="16"/>
      <c r="R12" s="16"/>
      <c r="S12" s="16"/>
      <c r="T12" s="16"/>
      <c r="U12" s="58">
        <f>+'Wheat Dual ~800Lb'!G24</f>
        <v>31</v>
      </c>
      <c r="W12" s="83" t="s">
        <v>61</v>
      </c>
      <c r="X12" s="84"/>
      <c r="Y12" s="84"/>
      <c r="Z12" s="84"/>
      <c r="AA12" s="84"/>
      <c r="AB12" s="58">
        <f>+'Wheat Dual ~800Lb'!N19</f>
        <v>0</v>
      </c>
      <c r="AC12" s="19"/>
      <c r="AD12" s="83"/>
      <c r="AE12" s="84"/>
      <c r="AF12" s="84"/>
      <c r="AG12" s="84"/>
      <c r="AH12" s="84"/>
      <c r="AI12" s="58"/>
      <c r="AK12" s="83"/>
      <c r="AL12" s="84"/>
      <c r="AM12" s="84"/>
      <c r="AN12" s="84"/>
      <c r="AO12" s="84"/>
      <c r="AP12" s="58"/>
    </row>
    <row r="13" spans="2:42" x14ac:dyDescent="0.25">
      <c r="B13" s="41" t="s">
        <v>33</v>
      </c>
      <c r="C13" s="47"/>
      <c r="D13" s="47"/>
      <c r="E13" s="47"/>
      <c r="F13" s="47"/>
      <c r="G13" s="59">
        <f>+G11+G12</f>
        <v>245.69787499999998</v>
      </c>
      <c r="I13" s="41" t="s">
        <v>33</v>
      </c>
      <c r="J13" s="47"/>
      <c r="K13" s="47"/>
      <c r="L13" s="47"/>
      <c r="M13" s="47"/>
      <c r="N13" s="59">
        <f>+N11+N12</f>
        <v>270.54309499999999</v>
      </c>
      <c r="O13" s="6"/>
      <c r="P13" s="41" t="s">
        <v>33</v>
      </c>
      <c r="Q13" s="47"/>
      <c r="R13" s="47"/>
      <c r="S13" s="47"/>
      <c r="T13" s="47"/>
      <c r="U13" s="59">
        <f>+U11+U12</f>
        <v>251.943095</v>
      </c>
      <c r="W13" s="87" t="s">
        <v>33</v>
      </c>
      <c r="X13" s="88"/>
      <c r="Y13" s="88"/>
      <c r="Z13" s="88"/>
      <c r="AA13" s="88"/>
      <c r="AB13" s="89">
        <f>+AB11+AB12</f>
        <v>215.07374999999999</v>
      </c>
      <c r="AC13" s="19"/>
      <c r="AD13" s="87" t="s">
        <v>33</v>
      </c>
      <c r="AE13" s="88"/>
      <c r="AF13" s="88"/>
      <c r="AG13" s="88"/>
      <c r="AH13" s="88"/>
      <c r="AI13" s="89">
        <f>+AI11+AI12</f>
        <v>48.197906976744186</v>
      </c>
      <c r="AK13" s="87" t="s">
        <v>33</v>
      </c>
      <c r="AL13" s="88"/>
      <c r="AM13" s="88"/>
      <c r="AN13" s="88"/>
      <c r="AO13" s="88"/>
      <c r="AP13" s="89">
        <f>+AP11+AP12</f>
        <v>143.22687500000001</v>
      </c>
    </row>
    <row r="14" spans="2:42" x14ac:dyDescent="0.25">
      <c r="B14" s="12"/>
      <c r="C14" s="16"/>
      <c r="D14" s="16"/>
      <c r="E14" s="16"/>
      <c r="F14" s="16"/>
      <c r="G14" s="13"/>
      <c r="I14" s="12"/>
      <c r="J14" s="16"/>
      <c r="K14" s="16"/>
      <c r="L14" s="16"/>
      <c r="M14" s="16"/>
      <c r="N14" s="13"/>
      <c r="P14" s="12"/>
      <c r="Q14" s="16"/>
      <c r="R14" s="16"/>
      <c r="S14" s="16"/>
      <c r="T14" s="16"/>
      <c r="U14" s="13"/>
      <c r="W14" s="83"/>
      <c r="X14" s="84"/>
      <c r="Y14" s="84"/>
      <c r="Z14" s="84"/>
      <c r="AA14" s="84"/>
      <c r="AB14" s="86"/>
      <c r="AD14" s="83"/>
      <c r="AE14" s="84"/>
      <c r="AF14" s="84"/>
      <c r="AG14" s="84"/>
      <c r="AH14" s="84"/>
      <c r="AI14" s="86"/>
      <c r="AK14" s="83"/>
      <c r="AL14" s="84"/>
      <c r="AM14" s="84"/>
      <c r="AN14" s="84"/>
      <c r="AO14" s="84"/>
      <c r="AP14" s="86"/>
    </row>
    <row r="15" spans="2:42" x14ac:dyDescent="0.25">
      <c r="B15" s="42" t="s">
        <v>74</v>
      </c>
      <c r="C15" s="55"/>
      <c r="D15" s="55"/>
      <c r="E15" s="55"/>
      <c r="F15" s="55"/>
      <c r="G15" s="43">
        <f>+G9-G13</f>
        <v>134.30212500000002</v>
      </c>
      <c r="H15" s="3"/>
      <c r="I15" s="42" t="s">
        <v>74</v>
      </c>
      <c r="J15" s="55"/>
      <c r="K15" s="55"/>
      <c r="L15" s="55"/>
      <c r="M15" s="55"/>
      <c r="N15" s="77">
        <f>+N9-N13</f>
        <v>115.58190500000001</v>
      </c>
      <c r="O15" s="6"/>
      <c r="P15" s="42" t="s">
        <v>74</v>
      </c>
      <c r="Q15" s="55"/>
      <c r="R15" s="55"/>
      <c r="S15" s="55"/>
      <c r="T15" s="55"/>
      <c r="U15" s="97">
        <f>+U9-U13</f>
        <v>45.39065500000001</v>
      </c>
      <c r="W15" s="42" t="s">
        <v>74</v>
      </c>
      <c r="X15" s="55"/>
      <c r="Y15" s="55"/>
      <c r="Z15" s="55"/>
      <c r="AA15" s="55"/>
      <c r="AB15" s="97">
        <f>+AB9-AB13</f>
        <v>-65.725416666666632</v>
      </c>
      <c r="AD15" s="42" t="s">
        <v>74</v>
      </c>
      <c r="AE15" s="55"/>
      <c r="AF15" s="55"/>
      <c r="AG15" s="55"/>
      <c r="AH15" s="55"/>
      <c r="AI15" s="97">
        <f>+AI9-AI13</f>
        <v>88.984410438986174</v>
      </c>
      <c r="AK15" s="42" t="s">
        <v>74</v>
      </c>
      <c r="AL15" s="55"/>
      <c r="AM15" s="55"/>
      <c r="AN15" s="55"/>
      <c r="AO15" s="55"/>
      <c r="AP15" s="97">
        <f>+AP9-AP13</f>
        <v>27.578730451576405</v>
      </c>
    </row>
    <row r="16" spans="2:42" x14ac:dyDescent="0.25">
      <c r="B16" s="12"/>
      <c r="C16" s="16"/>
      <c r="D16" s="16"/>
      <c r="E16" s="16"/>
      <c r="F16" s="16"/>
      <c r="G16" s="13"/>
      <c r="I16" s="12"/>
      <c r="J16" s="16"/>
      <c r="K16" s="16"/>
      <c r="L16" s="16"/>
      <c r="M16" s="16"/>
      <c r="N16" s="13"/>
      <c r="P16" s="12"/>
      <c r="Q16" s="16"/>
      <c r="R16" s="16"/>
      <c r="S16" s="16"/>
      <c r="T16" s="16"/>
      <c r="U16" s="78"/>
      <c r="W16" s="83"/>
      <c r="X16" s="84"/>
      <c r="Y16" s="84"/>
      <c r="Z16" s="84"/>
      <c r="AA16" s="84"/>
      <c r="AB16" s="79"/>
      <c r="AD16" s="83"/>
      <c r="AE16" s="84"/>
      <c r="AF16" s="84"/>
      <c r="AG16" s="84"/>
      <c r="AH16" s="84"/>
      <c r="AI16" s="79"/>
      <c r="AK16" s="83"/>
      <c r="AL16" s="84"/>
      <c r="AM16" s="84"/>
      <c r="AN16" s="84"/>
      <c r="AO16" s="84"/>
      <c r="AP16" s="79"/>
    </row>
    <row r="17" spans="2:42" x14ac:dyDescent="0.25">
      <c r="B17" s="12" t="s">
        <v>62</v>
      </c>
      <c r="C17" s="16"/>
      <c r="D17" s="16"/>
      <c r="E17" s="16"/>
      <c r="F17" s="16"/>
      <c r="G17" s="58">
        <f>+'Wheat Grain'!G47</f>
        <v>64.67</v>
      </c>
      <c r="I17" s="12" t="s">
        <v>62</v>
      </c>
      <c r="J17" s="16"/>
      <c r="K17" s="16"/>
      <c r="L17" s="16"/>
      <c r="M17" s="16"/>
      <c r="N17" s="58">
        <f>+'Wheat Dual  ~700Lb'!G47</f>
        <v>64.67</v>
      </c>
      <c r="O17" s="5"/>
      <c r="P17" s="12" t="s">
        <v>62</v>
      </c>
      <c r="Q17" s="16"/>
      <c r="R17" s="16"/>
      <c r="S17" s="16"/>
      <c r="T17" s="16"/>
      <c r="U17" s="99">
        <f>+'Wheat Dual ~800Lb'!G47</f>
        <v>64.67</v>
      </c>
      <c r="W17" s="83" t="s">
        <v>62</v>
      </c>
      <c r="X17" s="84"/>
      <c r="Y17" s="84"/>
      <c r="Z17" s="84"/>
      <c r="AA17" s="84"/>
      <c r="AB17" s="99">
        <f>+'Wheat Graze Out'!G47</f>
        <v>44.94</v>
      </c>
      <c r="AD17" s="83" t="s">
        <v>62</v>
      </c>
      <c r="AE17" s="84"/>
      <c r="AF17" s="84"/>
      <c r="AG17" s="84"/>
      <c r="AH17" s="84"/>
      <c r="AI17" s="99">
        <f>+'Fescue Established'!G47</f>
        <v>83.122156250000003</v>
      </c>
      <c r="AK17" s="83" t="s">
        <v>62</v>
      </c>
      <c r="AL17" s="84"/>
      <c r="AM17" s="84"/>
      <c r="AN17" s="84"/>
      <c r="AO17" s="84"/>
      <c r="AP17" s="99">
        <f>+Triticale!G47</f>
        <v>44.94</v>
      </c>
    </row>
    <row r="18" spans="2:42" x14ac:dyDescent="0.25">
      <c r="B18" s="12"/>
      <c r="C18" s="16"/>
      <c r="D18" s="16"/>
      <c r="E18" s="16"/>
      <c r="F18" s="16"/>
      <c r="G18" s="54"/>
      <c r="I18" s="12"/>
      <c r="J18" s="16"/>
      <c r="K18" s="16"/>
      <c r="L18" s="16"/>
      <c r="M18" s="16"/>
      <c r="N18" s="54"/>
      <c r="P18" s="12"/>
      <c r="Q18" s="16"/>
      <c r="R18" s="16"/>
      <c r="S18" s="16"/>
      <c r="T18" s="16"/>
      <c r="U18" s="100"/>
      <c r="W18" s="83"/>
      <c r="X18" s="84"/>
      <c r="Y18" s="84"/>
      <c r="Z18" s="84"/>
      <c r="AA18" s="84"/>
      <c r="AB18" s="79"/>
      <c r="AD18" s="83"/>
      <c r="AE18" s="84"/>
      <c r="AF18" s="84"/>
      <c r="AG18" s="84"/>
      <c r="AH18" s="84"/>
      <c r="AI18" s="79"/>
      <c r="AK18" s="83"/>
      <c r="AL18" s="84"/>
      <c r="AM18" s="84"/>
      <c r="AN18" s="84"/>
      <c r="AO18" s="84"/>
      <c r="AP18" s="79"/>
    </row>
    <row r="19" spans="2:42" ht="15.75" thickBot="1" x14ac:dyDescent="0.3">
      <c r="B19" s="44" t="s">
        <v>73</v>
      </c>
      <c r="C19" s="56"/>
      <c r="D19" s="56"/>
      <c r="E19" s="56"/>
      <c r="F19" s="56"/>
      <c r="G19" s="98">
        <f>+G15-G17</f>
        <v>69.632125000000016</v>
      </c>
      <c r="I19" s="44" t="s">
        <v>73</v>
      </c>
      <c r="J19" s="56"/>
      <c r="K19" s="56"/>
      <c r="L19" s="56"/>
      <c r="M19" s="56"/>
      <c r="N19" s="98">
        <f>+N15-N17</f>
        <v>50.911905000000004</v>
      </c>
      <c r="O19" s="5"/>
      <c r="P19" s="44" t="s">
        <v>73</v>
      </c>
      <c r="Q19" s="56"/>
      <c r="R19" s="56"/>
      <c r="S19" s="56"/>
      <c r="T19" s="56"/>
      <c r="U19" s="98">
        <f>+U15-U17</f>
        <v>-19.279344999999992</v>
      </c>
      <c r="W19" s="44" t="s">
        <v>73</v>
      </c>
      <c r="X19" s="56"/>
      <c r="Y19" s="56"/>
      <c r="Z19" s="56"/>
      <c r="AA19" s="56"/>
      <c r="AB19" s="82">
        <f>+AB15-AB17</f>
        <v>-110.66541666666663</v>
      </c>
      <c r="AD19" s="44" t="s">
        <v>73</v>
      </c>
      <c r="AE19" s="56"/>
      <c r="AF19" s="56"/>
      <c r="AG19" s="56"/>
      <c r="AH19" s="56"/>
      <c r="AI19" s="98">
        <f>+AI15-AI17</f>
        <v>5.8622541889861708</v>
      </c>
      <c r="AK19" s="44" t="s">
        <v>73</v>
      </c>
      <c r="AL19" s="56"/>
      <c r="AM19" s="56"/>
      <c r="AN19" s="56"/>
      <c r="AO19" s="56"/>
      <c r="AP19" s="98">
        <f>+AP15-AP17</f>
        <v>-17.361269548423593</v>
      </c>
    </row>
    <row r="20" spans="2:42" ht="15.75" thickBot="1" x14ac:dyDescent="0.3">
      <c r="U20" s="94"/>
    </row>
    <row r="21" spans="2:42" x14ac:dyDescent="0.25">
      <c r="B21" s="11" t="s">
        <v>67</v>
      </c>
      <c r="C21" s="15"/>
      <c r="D21" s="15"/>
      <c r="E21" s="15"/>
      <c r="F21" s="15"/>
      <c r="G21" s="102">
        <f>+G13/G3</f>
        <v>6.1424468749999992</v>
      </c>
      <c r="I21" s="11" t="s">
        <v>67</v>
      </c>
      <c r="J21" s="15"/>
      <c r="K21" s="15"/>
      <c r="L21" s="15"/>
      <c r="M21" s="15"/>
      <c r="N21" s="102">
        <f>+(N13-N8)/N3</f>
        <v>6.1976598571428569</v>
      </c>
      <c r="O21" s="8"/>
      <c r="P21" s="11" t="s">
        <v>67</v>
      </c>
      <c r="Q21" s="15"/>
      <c r="R21" s="15"/>
      <c r="S21" s="15"/>
      <c r="T21" s="15"/>
      <c r="U21" s="95">
        <f>+(U13-N8)/U3</f>
        <v>5.6662312857142858</v>
      </c>
      <c r="W21" s="11" t="s">
        <v>81</v>
      </c>
      <c r="X21" s="15"/>
      <c r="Y21" s="15"/>
      <c r="Z21" s="15"/>
      <c r="AA21" s="15"/>
      <c r="AB21" s="46">
        <f>+AB13/AB4</f>
        <v>0.93605287973306239</v>
      </c>
      <c r="AD21" s="11" t="s">
        <v>81</v>
      </c>
      <c r="AE21" s="15"/>
      <c r="AF21" s="15"/>
      <c r="AG21" s="15"/>
      <c r="AH21" s="15"/>
      <c r="AI21" s="46">
        <f>+AI13/AI4</f>
        <v>0.2283722867863679</v>
      </c>
      <c r="AK21" s="11" t="s">
        <v>81</v>
      </c>
      <c r="AL21" s="15"/>
      <c r="AM21" s="15"/>
      <c r="AN21" s="15"/>
      <c r="AO21" s="15"/>
      <c r="AP21" s="46">
        <f>+AP13/AP4</f>
        <v>0.54504925938389792</v>
      </c>
    </row>
    <row r="22" spans="2:42" ht="15.75" thickBot="1" x14ac:dyDescent="0.3">
      <c r="B22" s="14" t="s">
        <v>66</v>
      </c>
      <c r="C22" s="17"/>
      <c r="D22" s="17"/>
      <c r="E22" s="17"/>
      <c r="F22" s="17"/>
      <c r="G22" s="103">
        <f>+(G13+G17)/G3</f>
        <v>7.7591968749999989</v>
      </c>
      <c r="I22" s="14" t="s">
        <v>66</v>
      </c>
      <c r="J22" s="17"/>
      <c r="K22" s="17"/>
      <c r="L22" s="17"/>
      <c r="M22" s="17"/>
      <c r="N22" s="103">
        <f>+(N13+N17-N8)/N3</f>
        <v>8.0453741428571437</v>
      </c>
      <c r="O22" s="8"/>
      <c r="P22" s="14" t="s">
        <v>66</v>
      </c>
      <c r="Q22" s="17"/>
      <c r="R22" s="17"/>
      <c r="S22" s="17"/>
      <c r="T22" s="17"/>
      <c r="U22" s="96">
        <f>+(U13+U17-N8)/U3</f>
        <v>7.5139455714285708</v>
      </c>
      <c r="W22" s="14" t="s">
        <v>82</v>
      </c>
      <c r="X22" s="17"/>
      <c r="Y22" s="17"/>
      <c r="Z22" s="17"/>
      <c r="AA22" s="17"/>
      <c r="AB22" s="18">
        <f>+(AB17+AB13)/AB4</f>
        <v>1.1316426084433482</v>
      </c>
      <c r="AD22" s="14" t="s">
        <v>82</v>
      </c>
      <c r="AE22" s="17"/>
      <c r="AF22" s="17"/>
      <c r="AG22" s="17"/>
      <c r="AH22" s="17"/>
      <c r="AI22" s="18">
        <f>+(AI17+AI13)/AI4</f>
        <v>0.62222334995775441</v>
      </c>
      <c r="AK22" s="14" t="s">
        <v>82</v>
      </c>
      <c r="AL22" s="17"/>
      <c r="AM22" s="17"/>
      <c r="AN22" s="17"/>
      <c r="AO22" s="17"/>
      <c r="AP22" s="18">
        <f>+(AP17+AP13)/AP4</f>
        <v>0.71606823690967569</v>
      </c>
    </row>
    <row r="23" spans="2:42" ht="4.9000000000000004" customHeight="1" thickBot="1" x14ac:dyDescent="0.3"/>
    <row r="24" spans="2:42" ht="16.5" thickTop="1" thickBot="1" x14ac:dyDescent="0.3">
      <c r="B24" s="352" t="s">
        <v>117</v>
      </c>
      <c r="C24" s="353"/>
      <c r="D24" s="353"/>
      <c r="E24" s="353"/>
      <c r="F24" s="353"/>
      <c r="G24" s="354"/>
      <c r="I24" s="352" t="s">
        <v>117</v>
      </c>
      <c r="J24" s="353"/>
      <c r="K24" s="353"/>
      <c r="L24" s="353"/>
      <c r="M24" s="353"/>
      <c r="N24" s="354"/>
      <c r="P24" s="352" t="s">
        <v>117</v>
      </c>
      <c r="Q24" s="353"/>
      <c r="R24" s="353"/>
      <c r="S24" s="353"/>
      <c r="T24" s="353"/>
      <c r="U24" s="354"/>
      <c r="W24" s="352" t="s">
        <v>117</v>
      </c>
      <c r="X24" s="353"/>
      <c r="Y24" s="353"/>
      <c r="Z24" s="353"/>
      <c r="AA24" s="353"/>
      <c r="AB24" s="354"/>
      <c r="AD24" s="352" t="s">
        <v>117</v>
      </c>
      <c r="AE24" s="353"/>
      <c r="AF24" s="353"/>
      <c r="AG24" s="353"/>
      <c r="AH24" s="353"/>
      <c r="AI24" s="354"/>
      <c r="AK24" s="352" t="s">
        <v>117</v>
      </c>
      <c r="AL24" s="353"/>
      <c r="AM24" s="353"/>
      <c r="AN24" s="353"/>
      <c r="AO24" s="353"/>
      <c r="AP24" s="354"/>
    </row>
    <row r="25" spans="2:42" ht="15.75" thickTop="1" x14ac:dyDescent="0.25">
      <c r="B25" s="60" t="s">
        <v>58</v>
      </c>
      <c r="C25" s="361" t="s">
        <v>114</v>
      </c>
      <c r="D25" s="362"/>
      <c r="E25" s="362" t="s">
        <v>60</v>
      </c>
      <c r="F25" s="362"/>
      <c r="G25" s="363"/>
      <c r="I25" s="60" t="s">
        <v>58</v>
      </c>
      <c r="J25" s="104" t="s">
        <v>114</v>
      </c>
      <c r="K25" s="105"/>
      <c r="L25" s="105" t="s">
        <v>60</v>
      </c>
      <c r="M25" s="105"/>
      <c r="N25" s="106"/>
      <c r="O25" s="7"/>
      <c r="P25" s="60" t="s">
        <v>58</v>
      </c>
      <c r="Q25" s="104" t="s">
        <v>114</v>
      </c>
      <c r="R25" s="105"/>
      <c r="S25" s="105" t="s">
        <v>60</v>
      </c>
      <c r="T25" s="105"/>
      <c r="U25" s="106"/>
      <c r="W25" s="60" t="s">
        <v>109</v>
      </c>
      <c r="X25" s="361" t="s">
        <v>107</v>
      </c>
      <c r="Y25" s="362"/>
      <c r="Z25" s="362"/>
      <c r="AA25" s="362"/>
      <c r="AB25" s="363"/>
      <c r="AD25" s="60" t="s">
        <v>109</v>
      </c>
      <c r="AE25" s="361" t="s">
        <v>107</v>
      </c>
      <c r="AF25" s="362"/>
      <c r="AG25" s="362"/>
      <c r="AH25" s="362"/>
      <c r="AI25" s="363"/>
      <c r="AK25" s="60" t="s">
        <v>109</v>
      </c>
      <c r="AL25" s="361" t="s">
        <v>107</v>
      </c>
      <c r="AM25" s="362"/>
      <c r="AN25" s="362"/>
      <c r="AO25" s="362"/>
      <c r="AP25" s="363"/>
    </row>
    <row r="26" spans="2:42" ht="15.75" thickBot="1" x14ac:dyDescent="0.3">
      <c r="B26" s="61"/>
      <c r="C26" s="74">
        <f>+E26*0.9</f>
        <v>8.5500000000000007</v>
      </c>
      <c r="D26" s="75">
        <f>+E26*0.95</f>
        <v>9.0250000000000004</v>
      </c>
      <c r="E26" s="80">
        <f>+G5</f>
        <v>9.5</v>
      </c>
      <c r="F26" s="75">
        <f>+E26*1.05</f>
        <v>9.9749999999999996</v>
      </c>
      <c r="G26" s="76">
        <f>+E26*1.1</f>
        <v>10.450000000000001</v>
      </c>
      <c r="I26" s="61"/>
      <c r="J26" s="74">
        <f>+L26*0.9</f>
        <v>8.5500000000000007</v>
      </c>
      <c r="K26" s="75">
        <f>+L26*0.95</f>
        <v>9.0250000000000004</v>
      </c>
      <c r="L26" s="80">
        <f>+N5</f>
        <v>9.5</v>
      </c>
      <c r="M26" s="75">
        <f>+L26*1.05</f>
        <v>9.9749999999999996</v>
      </c>
      <c r="N26" s="76">
        <f>+L26*1.1</f>
        <v>10.450000000000001</v>
      </c>
      <c r="O26" s="9"/>
      <c r="P26" s="61"/>
      <c r="Q26" s="74">
        <f>+S26*0.9</f>
        <v>8.5500000000000007</v>
      </c>
      <c r="R26" s="75">
        <f>+S26*0.95</f>
        <v>9.0250000000000004</v>
      </c>
      <c r="S26" s="80">
        <f>+U5</f>
        <v>9.5</v>
      </c>
      <c r="T26" s="75">
        <f>+S26*1.05</f>
        <v>9.9749999999999996</v>
      </c>
      <c r="U26" s="76">
        <f>+S26*1.1</f>
        <v>10.450000000000001</v>
      </c>
      <c r="W26" s="61" t="s">
        <v>8</v>
      </c>
      <c r="X26" s="90">
        <f>+'Margins W GP'!X26</f>
        <v>0.44</v>
      </c>
      <c r="Y26" s="90">
        <f>+'Margins W GP'!Y26</f>
        <v>0.58500000000000008</v>
      </c>
      <c r="Z26" s="90">
        <f>+'Margins W GP'!Z26</f>
        <v>0.65</v>
      </c>
      <c r="AA26" s="90">
        <f>+'Margins W GP'!AA26</f>
        <v>0.7</v>
      </c>
      <c r="AB26" s="90">
        <f>+'Margins W GP'!AB26</f>
        <v>0.8</v>
      </c>
      <c r="AD26" s="61" t="s">
        <v>8</v>
      </c>
      <c r="AE26" s="74">
        <v>0.44</v>
      </c>
      <c r="AF26" s="75">
        <f>+Y26</f>
        <v>0.58500000000000008</v>
      </c>
      <c r="AG26" s="90">
        <v>0.55000000000000004</v>
      </c>
      <c r="AH26" s="75">
        <v>0.7</v>
      </c>
      <c r="AI26" s="76">
        <v>0.8</v>
      </c>
      <c r="AK26" s="61" t="s">
        <v>8</v>
      </c>
      <c r="AL26" s="74">
        <v>0.44</v>
      </c>
      <c r="AM26" s="75">
        <v>0.5</v>
      </c>
      <c r="AN26" s="90">
        <v>0.55000000000000004</v>
      </c>
      <c r="AO26" s="75">
        <v>0.7</v>
      </c>
      <c r="AP26" s="76">
        <v>0.8</v>
      </c>
    </row>
    <row r="27" spans="2:42" ht="15.75" thickTop="1" x14ac:dyDescent="0.25">
      <c r="B27" s="62">
        <f>+B29*0.8</f>
        <v>32</v>
      </c>
      <c r="C27" s="63">
        <f>+(C$26*$B27-$G$13-$G$17)</f>
        <v>-36.767874999999961</v>
      </c>
      <c r="D27" s="64">
        <f>+(D$26*$B27-$G$13-$G$17)</f>
        <v>-21.567874999999972</v>
      </c>
      <c r="E27" s="64">
        <f t="shared" ref="E27:G27" si="0">+(E$26*$B27-$G$13-$G$17)</f>
        <v>-6.3678749999999837</v>
      </c>
      <c r="F27" s="64">
        <f t="shared" si="0"/>
        <v>8.8321250000000049</v>
      </c>
      <c r="G27" s="65">
        <f t="shared" si="0"/>
        <v>24.03212500000005</v>
      </c>
      <c r="I27" s="62">
        <f>+I29*0.8</f>
        <v>28</v>
      </c>
      <c r="J27" s="63">
        <f>+(J$26*$I27+$N$8-$N$13-$N$17)</f>
        <v>-42.188094999999961</v>
      </c>
      <c r="K27" s="64">
        <f t="shared" ref="K27:N27" si="1">+(K$26*$I27+$N$8-$N$13-$N$17)</f>
        <v>-28.88809499999995</v>
      </c>
      <c r="L27" s="64">
        <f t="shared" si="1"/>
        <v>-15.588094999999996</v>
      </c>
      <c r="M27" s="64">
        <f t="shared" si="1"/>
        <v>-2.2880949999999842</v>
      </c>
      <c r="N27" s="65">
        <f t="shared" si="1"/>
        <v>11.011905000000027</v>
      </c>
      <c r="P27" s="62">
        <f>+P29*0.8</f>
        <v>28</v>
      </c>
      <c r="Q27" s="63">
        <f>+(Q$26*$P27*$U$6+$U$8-$U$13-$U$17)</f>
        <v>-77.466844999999964</v>
      </c>
      <c r="R27" s="64">
        <f t="shared" ref="R27:U27" si="2">+(R$26*$P27*$U$6+$U$8-$U$13-$U$17)</f>
        <v>-69.154344999999992</v>
      </c>
      <c r="S27" s="64">
        <f t="shared" si="2"/>
        <v>-60.841844999999992</v>
      </c>
      <c r="T27" s="64">
        <f t="shared" si="2"/>
        <v>-52.529344999999992</v>
      </c>
      <c r="U27" s="65">
        <f t="shared" si="2"/>
        <v>-44.216844999999992</v>
      </c>
      <c r="W27" s="62">
        <f>+W29*0.9</f>
        <v>206.79000000000002</v>
      </c>
      <c r="X27" s="63">
        <f>+(X$26*$W27)-$AB$13-$AB$17</f>
        <v>-169.02614999999997</v>
      </c>
      <c r="Y27" s="64">
        <f t="shared" ref="Y27:AB27" si="3">+(Y$26*$W27)-$AB$13-$AB$17</f>
        <v>-139.04159999999996</v>
      </c>
      <c r="Z27" s="64">
        <f t="shared" si="3"/>
        <v>-125.60024999999996</v>
      </c>
      <c r="AA27" s="64">
        <f t="shared" si="3"/>
        <v>-115.26074999999997</v>
      </c>
      <c r="AB27" s="65">
        <f t="shared" si="3"/>
        <v>-94.581749999999971</v>
      </c>
      <c r="AD27" s="62">
        <f>+AD29*0.9</f>
        <v>189.94474719101123</v>
      </c>
      <c r="AE27" s="63">
        <f>+(AE$26*$AD27)-$AI$13-$AI$17</f>
        <v>-47.744374462699248</v>
      </c>
      <c r="AF27" s="64">
        <f t="shared" ref="AF27:AI27" si="4">+(AF$26*$AD27)-$AI$13-$AI$17</f>
        <v>-20.202386120002608</v>
      </c>
      <c r="AG27" s="64">
        <f t="shared" si="4"/>
        <v>-26.850452271688006</v>
      </c>
      <c r="AH27" s="64">
        <f t="shared" si="4"/>
        <v>1.6412598069636744</v>
      </c>
      <c r="AI27" s="65">
        <f t="shared" si="4"/>
        <v>20.635734526064809</v>
      </c>
      <c r="AK27" s="62">
        <f>+AK29*0.9</f>
        <v>236.50006908679811</v>
      </c>
      <c r="AL27" s="63">
        <f>+(AL$26*$AK27)-$AP$13-$AP$17</f>
        <v>-84.106844601808831</v>
      </c>
      <c r="AM27" s="64">
        <f t="shared" ref="AM27:AP27" si="5">+(AM$26*$AK27)-$AP$13-$AP$17</f>
        <v>-69.916840456600951</v>
      </c>
      <c r="AN27" s="64">
        <f t="shared" si="5"/>
        <v>-58.09183700226103</v>
      </c>
      <c r="AO27" s="64">
        <f t="shared" si="5"/>
        <v>-22.616826639241339</v>
      </c>
      <c r="AP27" s="65">
        <f t="shared" si="5"/>
        <v>1.0331802694385033</v>
      </c>
    </row>
    <row r="28" spans="2:42" ht="15.75" thickBot="1" x14ac:dyDescent="0.3">
      <c r="B28" s="66">
        <f>+B29*0.9</f>
        <v>36</v>
      </c>
      <c r="C28" s="67">
        <f t="shared" ref="C28:G31" si="6">+(C$26*$B28-$G$13-$G$17)</f>
        <v>-2.5678749999999724</v>
      </c>
      <c r="D28" s="68">
        <f t="shared" si="6"/>
        <v>14.53212500000005</v>
      </c>
      <c r="E28" s="135">
        <f t="shared" si="6"/>
        <v>31.632125000000016</v>
      </c>
      <c r="F28" s="68">
        <f t="shared" si="6"/>
        <v>48.732124999999982</v>
      </c>
      <c r="G28" s="69">
        <f t="shared" si="6"/>
        <v>65.832125000000062</v>
      </c>
      <c r="I28" s="66">
        <f>+I29*0.9</f>
        <v>31.5</v>
      </c>
      <c r="J28" s="67">
        <f t="shared" ref="J28:N31" si="7">+(J$26*$I28+$N$8-$N$13-$N$17)</f>
        <v>-12.26309499999995</v>
      </c>
      <c r="K28" s="68">
        <f t="shared" si="7"/>
        <v>2.6994050000000271</v>
      </c>
      <c r="L28" s="135">
        <f t="shared" si="7"/>
        <v>17.661905000000004</v>
      </c>
      <c r="M28" s="68">
        <f t="shared" si="7"/>
        <v>32.624404999999982</v>
      </c>
      <c r="N28" s="69">
        <f t="shared" si="7"/>
        <v>47.586905000000016</v>
      </c>
      <c r="P28" s="66">
        <f>+P29*0.9</f>
        <v>31.5</v>
      </c>
      <c r="Q28" s="67">
        <f t="shared" ref="Q28:U31" si="8">+(Q$26*$P28*$U$6+$U$8-$U$13-$U$17)</f>
        <v>-58.763719999999992</v>
      </c>
      <c r="R28" s="68">
        <f t="shared" si="8"/>
        <v>-49.412157499999992</v>
      </c>
      <c r="S28" s="135">
        <f t="shared" si="8"/>
        <v>-40.060594999999992</v>
      </c>
      <c r="T28" s="68">
        <f t="shared" si="8"/>
        <v>-30.709032499999992</v>
      </c>
      <c r="U28" s="69">
        <f t="shared" si="8"/>
        <v>-21.357469999999992</v>
      </c>
      <c r="W28" s="66">
        <f>+W29*0.95</f>
        <v>218.27833333333334</v>
      </c>
      <c r="X28" s="67">
        <f t="shared" ref="X28:AB31" si="9">+(X$26*$W28)-$AB$13-$AB$17</f>
        <v>-163.9712833333333</v>
      </c>
      <c r="Y28" s="68">
        <f t="shared" si="9"/>
        <v>-132.32092499999999</v>
      </c>
      <c r="Z28" s="135">
        <f t="shared" si="9"/>
        <v>-118.13283333333331</v>
      </c>
      <c r="AA28" s="68">
        <f t="shared" si="9"/>
        <v>-107.21891666666667</v>
      </c>
      <c r="AB28" s="69">
        <f t="shared" si="9"/>
        <v>-85.391083333333313</v>
      </c>
      <c r="AD28" s="66">
        <f>+AD29*0.95</f>
        <v>200.4972331460674</v>
      </c>
      <c r="AE28" s="67">
        <f t="shared" ref="AE28:AI31" si="10">+(AE$26*$AD28)-$AI$13-$AI$17</f>
        <v>-43.101280642474528</v>
      </c>
      <c r="AF28" s="68">
        <f t="shared" si="10"/>
        <v>-14.02918183629474</v>
      </c>
      <c r="AG28" s="135">
        <f t="shared" si="10"/>
        <v>-21.046584996407113</v>
      </c>
      <c r="AH28" s="68">
        <f t="shared" si="10"/>
        <v>9.0279999755029934</v>
      </c>
      <c r="AI28" s="69">
        <f t="shared" si="10"/>
        <v>29.077723290109745</v>
      </c>
      <c r="AK28" s="66">
        <f>+AK29*0.95</f>
        <v>249.63896181384243</v>
      </c>
      <c r="AL28" s="67">
        <f t="shared" ref="AL28:AP31" si="11">+(AL$26*$AK28)-$AP$13-$AP$17</f>
        <v>-78.325731801909342</v>
      </c>
      <c r="AM28" s="68">
        <f t="shared" si="11"/>
        <v>-63.34739409307879</v>
      </c>
      <c r="AN28" s="135">
        <f t="shared" si="11"/>
        <v>-50.865446002386648</v>
      </c>
      <c r="AO28" s="68">
        <f t="shared" si="11"/>
        <v>-13.419601730310319</v>
      </c>
      <c r="AP28" s="69">
        <f t="shared" si="11"/>
        <v>11.544294451073938</v>
      </c>
    </row>
    <row r="29" spans="2:42" ht="15.75" thickBot="1" x14ac:dyDescent="0.3">
      <c r="B29" s="81">
        <f>+G3</f>
        <v>40</v>
      </c>
      <c r="C29" s="67">
        <f t="shared" si="6"/>
        <v>31.632125000000016</v>
      </c>
      <c r="D29" s="133">
        <f t="shared" si="6"/>
        <v>50.632125000000016</v>
      </c>
      <c r="E29" s="137">
        <f t="shared" si="6"/>
        <v>69.632125000000016</v>
      </c>
      <c r="F29" s="134">
        <f t="shared" si="6"/>
        <v>88.632125000000016</v>
      </c>
      <c r="G29" s="69">
        <f t="shared" si="6"/>
        <v>107.63212500000007</v>
      </c>
      <c r="I29" s="81">
        <f>+N3</f>
        <v>35</v>
      </c>
      <c r="J29" s="67">
        <f t="shared" si="7"/>
        <v>17.661905000000004</v>
      </c>
      <c r="K29" s="133">
        <f t="shared" si="7"/>
        <v>34.286905000000004</v>
      </c>
      <c r="L29" s="137">
        <f t="shared" si="7"/>
        <v>50.911905000000004</v>
      </c>
      <c r="M29" s="134">
        <f t="shared" si="7"/>
        <v>67.536905000000004</v>
      </c>
      <c r="N29" s="69">
        <f t="shared" si="7"/>
        <v>84.161905000000061</v>
      </c>
      <c r="P29" s="81">
        <f>+U3</f>
        <v>35</v>
      </c>
      <c r="Q29" s="67">
        <f t="shared" si="8"/>
        <v>-40.060594999999992</v>
      </c>
      <c r="R29" s="133">
        <f t="shared" si="8"/>
        <v>-29.669969999999992</v>
      </c>
      <c r="S29" s="137">
        <f t="shared" si="8"/>
        <v>-19.279344999999992</v>
      </c>
      <c r="T29" s="134">
        <f t="shared" si="8"/>
        <v>-8.8887199999999922</v>
      </c>
      <c r="U29" s="69">
        <f t="shared" si="8"/>
        <v>1.5019050000000078</v>
      </c>
      <c r="W29" s="81">
        <f>+AB4</f>
        <v>229.76666666666668</v>
      </c>
      <c r="X29" s="67">
        <f t="shared" si="9"/>
        <v>-158.91641666666663</v>
      </c>
      <c r="Y29" s="133">
        <f t="shared" si="9"/>
        <v>-125.60024999999996</v>
      </c>
      <c r="Z29" s="137">
        <f t="shared" si="9"/>
        <v>-110.66541666666663</v>
      </c>
      <c r="AA29" s="134">
        <f t="shared" si="9"/>
        <v>-99.177083333333314</v>
      </c>
      <c r="AB29" s="69">
        <f t="shared" si="9"/>
        <v>-76.200416666666626</v>
      </c>
      <c r="AD29" s="81">
        <f>+AI4</f>
        <v>211.0497191011236</v>
      </c>
      <c r="AE29" s="67">
        <f t="shared" si="10"/>
        <v>-38.458186822249807</v>
      </c>
      <c r="AF29" s="133">
        <f t="shared" si="10"/>
        <v>-7.8559775525868787</v>
      </c>
      <c r="AG29" s="137">
        <f t="shared" si="10"/>
        <v>-15.242717721126198</v>
      </c>
      <c r="AH29" s="134">
        <f t="shared" si="10"/>
        <v>16.414740144042341</v>
      </c>
      <c r="AI29" s="69">
        <f t="shared" si="10"/>
        <v>37.519712054154709</v>
      </c>
      <c r="AK29" s="81">
        <f>+AP4</f>
        <v>262.77785454088678</v>
      </c>
      <c r="AL29" s="67">
        <f t="shared" si="11"/>
        <v>-72.544619002009824</v>
      </c>
      <c r="AM29" s="133">
        <f t="shared" si="11"/>
        <v>-56.777947729556615</v>
      </c>
      <c r="AN29" s="137">
        <f t="shared" si="11"/>
        <v>-43.639055002512265</v>
      </c>
      <c r="AO29" s="134">
        <f t="shared" si="11"/>
        <v>-4.222376821379271</v>
      </c>
      <c r="AP29" s="69">
        <f t="shared" si="11"/>
        <v>22.05540863270943</v>
      </c>
    </row>
    <row r="30" spans="2:42" x14ac:dyDescent="0.25">
      <c r="B30" s="66">
        <f>+B29*1.1</f>
        <v>44</v>
      </c>
      <c r="C30" s="67">
        <f t="shared" si="6"/>
        <v>65.832125000000062</v>
      </c>
      <c r="D30" s="68">
        <f t="shared" si="6"/>
        <v>86.732125000000039</v>
      </c>
      <c r="E30" s="136">
        <f t="shared" si="6"/>
        <v>107.63212500000002</v>
      </c>
      <c r="F30" s="68">
        <f t="shared" si="6"/>
        <v>128.53212500000001</v>
      </c>
      <c r="G30" s="69">
        <f t="shared" si="6"/>
        <v>149.4321250000001</v>
      </c>
      <c r="I30" s="66">
        <f>+I29*1.1</f>
        <v>38.5</v>
      </c>
      <c r="J30" s="67">
        <f t="shared" si="7"/>
        <v>47.586905000000016</v>
      </c>
      <c r="K30" s="68">
        <f t="shared" si="7"/>
        <v>65.874405000000039</v>
      </c>
      <c r="L30" s="136">
        <f t="shared" si="7"/>
        <v>84.161905000000004</v>
      </c>
      <c r="M30" s="68">
        <f t="shared" si="7"/>
        <v>102.44940499999997</v>
      </c>
      <c r="N30" s="69">
        <f t="shared" si="7"/>
        <v>120.73690500000005</v>
      </c>
      <c r="P30" s="66">
        <f>+P29*1.1</f>
        <v>38.5</v>
      </c>
      <c r="Q30" s="67">
        <f t="shared" si="8"/>
        <v>-21.357469999999992</v>
      </c>
      <c r="R30" s="68">
        <f t="shared" si="8"/>
        <v>-9.9277824999999922</v>
      </c>
      <c r="S30" s="136">
        <f t="shared" si="8"/>
        <v>1.5019050000000078</v>
      </c>
      <c r="T30" s="68">
        <f t="shared" si="8"/>
        <v>12.931592500000008</v>
      </c>
      <c r="U30" s="69">
        <f t="shared" si="8"/>
        <v>24.361280000000008</v>
      </c>
      <c r="W30" s="66">
        <f>+W29*1.05</f>
        <v>241.25500000000002</v>
      </c>
      <c r="X30" s="67">
        <f t="shared" si="9"/>
        <v>-153.86154999999997</v>
      </c>
      <c r="Y30" s="68">
        <f t="shared" si="9"/>
        <v>-118.87957499999996</v>
      </c>
      <c r="Z30" s="136">
        <f t="shared" si="9"/>
        <v>-103.19799999999998</v>
      </c>
      <c r="AA30" s="68">
        <f t="shared" si="9"/>
        <v>-91.135249999999985</v>
      </c>
      <c r="AB30" s="69">
        <f t="shared" si="9"/>
        <v>-67.009749999999968</v>
      </c>
      <c r="AD30" s="66">
        <f>+AD29*1.05</f>
        <v>221.6022050561798</v>
      </c>
      <c r="AE30" s="67">
        <f t="shared" si="10"/>
        <v>-33.815093002025073</v>
      </c>
      <c r="AF30" s="68">
        <f t="shared" si="10"/>
        <v>-1.6827732688789894</v>
      </c>
      <c r="AG30" s="136">
        <f t="shared" si="10"/>
        <v>-9.43885044584529</v>
      </c>
      <c r="AH30" s="68">
        <f t="shared" si="10"/>
        <v>23.80148031258166</v>
      </c>
      <c r="AI30" s="69">
        <f t="shared" si="10"/>
        <v>45.961700818199674</v>
      </c>
      <c r="AK30" s="66">
        <f>+AK29*1.05</f>
        <v>275.91674726793116</v>
      </c>
      <c r="AL30" s="67">
        <f t="shared" si="11"/>
        <v>-66.763506202110293</v>
      </c>
      <c r="AM30" s="68">
        <f t="shared" si="11"/>
        <v>-50.208501366034426</v>
      </c>
      <c r="AN30" s="136">
        <f t="shared" si="11"/>
        <v>-36.412664002637854</v>
      </c>
      <c r="AO30" s="68">
        <f t="shared" si="11"/>
        <v>4.9748480875518055</v>
      </c>
      <c r="AP30" s="69">
        <f t="shared" si="11"/>
        <v>32.566522814344921</v>
      </c>
    </row>
    <row r="31" spans="2:42" ht="15.75" thickBot="1" x14ac:dyDescent="0.3">
      <c r="B31" s="70">
        <f>+B29*1.2</f>
        <v>48</v>
      </c>
      <c r="C31" s="71">
        <f t="shared" si="6"/>
        <v>100.03212500000005</v>
      </c>
      <c r="D31" s="72">
        <f t="shared" si="6"/>
        <v>122.83212500000006</v>
      </c>
      <c r="E31" s="72">
        <f t="shared" si="6"/>
        <v>145.63212500000003</v>
      </c>
      <c r="F31" s="72">
        <f t="shared" si="6"/>
        <v>168.43212499999998</v>
      </c>
      <c r="G31" s="73">
        <f t="shared" si="6"/>
        <v>191.23212500000005</v>
      </c>
      <c r="I31" s="70">
        <f>+I29*1.2</f>
        <v>42</v>
      </c>
      <c r="J31" s="71">
        <f t="shared" si="7"/>
        <v>77.511905000000027</v>
      </c>
      <c r="K31" s="72">
        <f t="shared" si="7"/>
        <v>97.461905000000016</v>
      </c>
      <c r="L31" s="72">
        <f t="shared" si="7"/>
        <v>117.411905</v>
      </c>
      <c r="M31" s="72">
        <f t="shared" si="7"/>
        <v>137.36190499999998</v>
      </c>
      <c r="N31" s="73">
        <f t="shared" si="7"/>
        <v>157.31190500000002</v>
      </c>
      <c r="P31" s="70">
        <f>+P29*1.2</f>
        <v>42</v>
      </c>
      <c r="Q31" s="71">
        <f t="shared" si="8"/>
        <v>-2.6543449999999922</v>
      </c>
      <c r="R31" s="72">
        <f t="shared" si="8"/>
        <v>9.8144050000000078</v>
      </c>
      <c r="S31" s="72">
        <f t="shared" si="8"/>
        <v>22.283155000000008</v>
      </c>
      <c r="T31" s="72">
        <f t="shared" si="8"/>
        <v>34.751905000000008</v>
      </c>
      <c r="U31" s="73">
        <f t="shared" si="8"/>
        <v>47.220655000000008</v>
      </c>
      <c r="W31" s="70">
        <f>+W30*1.1</f>
        <v>265.38050000000004</v>
      </c>
      <c r="X31" s="71">
        <f t="shared" si="9"/>
        <v>-143.24632999999997</v>
      </c>
      <c r="Y31" s="72">
        <f t="shared" si="9"/>
        <v>-104.76615749999993</v>
      </c>
      <c r="Z31" s="72">
        <f t="shared" si="9"/>
        <v>-87.516424999999941</v>
      </c>
      <c r="AA31" s="72">
        <f t="shared" si="9"/>
        <v>-74.247399999999971</v>
      </c>
      <c r="AB31" s="73">
        <f t="shared" si="9"/>
        <v>-47.709349999999944</v>
      </c>
      <c r="AD31" s="70">
        <f>+AD30*1.1</f>
        <v>243.76242556179778</v>
      </c>
      <c r="AE31" s="71">
        <f t="shared" si="10"/>
        <v>-24.064595979553168</v>
      </c>
      <c r="AF31" s="72">
        <f t="shared" si="10"/>
        <v>11.28095572690755</v>
      </c>
      <c r="AG31" s="72">
        <f t="shared" si="10"/>
        <v>2.7492708322446191</v>
      </c>
      <c r="AH31" s="72">
        <f t="shared" si="10"/>
        <v>39.313634666514261</v>
      </c>
      <c r="AI31" s="73">
        <f t="shared" si="10"/>
        <v>63.689877222694051</v>
      </c>
      <c r="AK31" s="70">
        <f>+AK30*1.1</f>
        <v>303.5084219947243</v>
      </c>
      <c r="AL31" s="71">
        <f t="shared" si="11"/>
        <v>-54.623169322321303</v>
      </c>
      <c r="AM31" s="72">
        <f t="shared" si="11"/>
        <v>-36.412664002637854</v>
      </c>
      <c r="AN31" s="72">
        <f t="shared" si="11"/>
        <v>-21.237242902901613</v>
      </c>
      <c r="AO31" s="72">
        <f t="shared" si="11"/>
        <v>24.289020396306995</v>
      </c>
      <c r="AP31" s="73">
        <f t="shared" si="11"/>
        <v>54.639862595779448</v>
      </c>
    </row>
    <row r="32" spans="2:42" ht="16.5" thickTop="1" thickBot="1" x14ac:dyDescent="0.3"/>
    <row r="33" spans="2:42" ht="16.5" thickTop="1" thickBot="1" x14ac:dyDescent="0.3">
      <c r="B33" s="352" t="s">
        <v>113</v>
      </c>
      <c r="C33" s="353"/>
      <c r="D33" s="353"/>
      <c r="E33" s="353"/>
      <c r="F33" s="353"/>
      <c r="G33" s="354"/>
      <c r="I33" s="352" t="s">
        <v>113</v>
      </c>
      <c r="J33" s="353"/>
      <c r="K33" s="353"/>
      <c r="L33" s="353"/>
      <c r="M33" s="353"/>
      <c r="N33" s="354"/>
      <c r="P33" s="352" t="s">
        <v>113</v>
      </c>
      <c r="Q33" s="353"/>
      <c r="R33" s="353"/>
      <c r="S33" s="353"/>
      <c r="T33" s="353"/>
      <c r="U33" s="354"/>
      <c r="W33" s="352" t="s">
        <v>113</v>
      </c>
      <c r="X33" s="353"/>
      <c r="Y33" s="353"/>
      <c r="Z33" s="353"/>
      <c r="AA33" s="353"/>
      <c r="AB33" s="354"/>
      <c r="AD33" s="352" t="s">
        <v>113</v>
      </c>
      <c r="AE33" s="353"/>
      <c r="AF33" s="353"/>
      <c r="AG33" s="353"/>
      <c r="AH33" s="353"/>
      <c r="AI33" s="354"/>
      <c r="AK33" s="352" t="s">
        <v>113</v>
      </c>
      <c r="AL33" s="353"/>
      <c r="AM33" s="353"/>
      <c r="AN33" s="353"/>
      <c r="AO33" s="353"/>
      <c r="AP33" s="354"/>
    </row>
    <row r="34" spans="2:42" ht="15.75" thickTop="1" x14ac:dyDescent="0.25">
      <c r="B34" s="60" t="s">
        <v>58</v>
      </c>
      <c r="C34" s="355" t="s">
        <v>114</v>
      </c>
      <c r="D34" s="356"/>
      <c r="E34" s="356" t="s">
        <v>60</v>
      </c>
      <c r="F34" s="356"/>
      <c r="G34" s="357"/>
      <c r="I34" s="60" t="s">
        <v>58</v>
      </c>
      <c r="J34" s="355" t="s">
        <v>114</v>
      </c>
      <c r="K34" s="356"/>
      <c r="L34" s="356" t="s">
        <v>60</v>
      </c>
      <c r="M34" s="356"/>
      <c r="N34" s="357"/>
      <c r="P34" s="60" t="s">
        <v>58</v>
      </c>
      <c r="Q34" s="355" t="s">
        <v>114</v>
      </c>
      <c r="R34" s="356"/>
      <c r="S34" s="356" t="s">
        <v>60</v>
      </c>
      <c r="T34" s="356"/>
      <c r="U34" s="357"/>
      <c r="W34" s="60" t="s">
        <v>109</v>
      </c>
      <c r="X34" s="355" t="s">
        <v>107</v>
      </c>
      <c r="Y34" s="356"/>
      <c r="Z34" s="356"/>
      <c r="AA34" s="356"/>
      <c r="AB34" s="357"/>
      <c r="AD34" s="60" t="s">
        <v>109</v>
      </c>
      <c r="AE34" s="355" t="s">
        <v>107</v>
      </c>
      <c r="AF34" s="356"/>
      <c r="AG34" s="356"/>
      <c r="AH34" s="356"/>
      <c r="AI34" s="357"/>
      <c r="AK34" s="60" t="s">
        <v>109</v>
      </c>
      <c r="AL34" s="355" t="s">
        <v>107</v>
      </c>
      <c r="AM34" s="356"/>
      <c r="AN34" s="356"/>
      <c r="AO34" s="356"/>
      <c r="AP34" s="357"/>
    </row>
    <row r="35" spans="2:42" ht="15.75" thickBot="1" x14ac:dyDescent="0.3">
      <c r="B35" s="61"/>
      <c r="C35" s="74">
        <f>+E35*0.9</f>
        <v>8.5500000000000007</v>
      </c>
      <c r="D35" s="75">
        <f>+E35*0.95</f>
        <v>9.0250000000000004</v>
      </c>
      <c r="E35" s="80">
        <f>+E26</f>
        <v>9.5</v>
      </c>
      <c r="F35" s="75">
        <f>+E35*1.05</f>
        <v>9.9749999999999996</v>
      </c>
      <c r="G35" s="76">
        <f>+E35*1.1</f>
        <v>10.450000000000001</v>
      </c>
      <c r="I35" s="61"/>
      <c r="J35" s="74">
        <f>+L35*0.9</f>
        <v>8.5500000000000007</v>
      </c>
      <c r="K35" s="75">
        <f>+L35*0.95</f>
        <v>9.0250000000000004</v>
      </c>
      <c r="L35" s="80">
        <f>+L26</f>
        <v>9.5</v>
      </c>
      <c r="M35" s="75">
        <f>+L35*1.05</f>
        <v>9.9749999999999996</v>
      </c>
      <c r="N35" s="76">
        <f>+L35*1.1</f>
        <v>10.450000000000001</v>
      </c>
      <c r="P35" s="61"/>
      <c r="Q35" s="74">
        <f>+S35*0.9</f>
        <v>8.5500000000000007</v>
      </c>
      <c r="R35" s="75">
        <f>+S35*0.95</f>
        <v>9.0250000000000004</v>
      </c>
      <c r="S35" s="80">
        <f>+S26</f>
        <v>9.5</v>
      </c>
      <c r="T35" s="75">
        <f>+S35*1.05</f>
        <v>9.9749999999999996</v>
      </c>
      <c r="U35" s="76">
        <f>+S35*1.1</f>
        <v>10.450000000000001</v>
      </c>
      <c r="W35" s="61" t="s">
        <v>8</v>
      </c>
      <c r="X35" s="74">
        <f>+X26</f>
        <v>0.44</v>
      </c>
      <c r="Y35" s="75">
        <f>+Y26</f>
        <v>0.58500000000000008</v>
      </c>
      <c r="Z35" s="90">
        <f>+Z26</f>
        <v>0.65</v>
      </c>
      <c r="AA35" s="75">
        <f>+AA26</f>
        <v>0.7</v>
      </c>
      <c r="AB35" s="76">
        <f>+AB26</f>
        <v>0.8</v>
      </c>
      <c r="AD35" s="61" t="s">
        <v>8</v>
      </c>
      <c r="AE35" s="118">
        <f>+AE26</f>
        <v>0.44</v>
      </c>
      <c r="AF35" s="119">
        <f>+AG35*0.9</f>
        <v>0.49500000000000005</v>
      </c>
      <c r="AG35" s="158">
        <f>+AG26</f>
        <v>0.55000000000000004</v>
      </c>
      <c r="AH35" s="119">
        <f>+AH26</f>
        <v>0.7</v>
      </c>
      <c r="AI35" s="121">
        <f>+AI26</f>
        <v>0.8</v>
      </c>
      <c r="AK35" s="61" t="s">
        <v>8</v>
      </c>
      <c r="AL35" s="118">
        <f>+AL26</f>
        <v>0.44</v>
      </c>
      <c r="AM35" s="119">
        <f>+AN35*0.9</f>
        <v>0.49500000000000005</v>
      </c>
      <c r="AN35" s="120">
        <f>+AN26</f>
        <v>0.55000000000000004</v>
      </c>
      <c r="AO35" s="119">
        <f>+AO26</f>
        <v>0.7</v>
      </c>
      <c r="AP35" s="121">
        <f>+AP26</f>
        <v>0.8</v>
      </c>
    </row>
    <row r="36" spans="2:42" ht="15.75" thickTop="1" x14ac:dyDescent="0.25">
      <c r="B36" s="62">
        <f>+B38*0.8</f>
        <v>32</v>
      </c>
      <c r="C36" s="63">
        <f>+(C$26*$B36-$G$13-$G$17)+'Wheat Grain'!$G$37+'Wheat Grain'!$G$42</f>
        <v>-12.107874999999961</v>
      </c>
      <c r="D36" s="64">
        <f>+(D$26*$B36-$G$13-$G$17)+'Wheat Grain'!$G$37+'Wheat Grain'!$G$42</f>
        <v>3.0921250000000278</v>
      </c>
      <c r="E36" s="64">
        <f>+(E$26*$B36-$G$13-$G$17)+'Wheat Grain'!$G$37+'Wheat Grain'!$G$42</f>
        <v>18.292125000000016</v>
      </c>
      <c r="F36" s="64">
        <f>+(F$26*$B36-$G$13-$G$17)+'Wheat Grain'!$G$37+'Wheat Grain'!$G$42</f>
        <v>33.492125000000001</v>
      </c>
      <c r="G36" s="65">
        <f>+(G$26*$B36-$G$13-$G$17)+'Wheat Grain'!$G$37+'Wheat Grain'!$G$42</f>
        <v>48.692125000000047</v>
      </c>
      <c r="I36" s="62">
        <f>+I38*0.8</f>
        <v>28</v>
      </c>
      <c r="J36" s="63">
        <f>+(J$26*$I36+$N$8-$N$13-$N$17)+'Wheat Dual  ~700Lb'!$G$37+'Wheat Dual  ~700Lb'!$G$42</f>
        <v>-17.528094999999961</v>
      </c>
      <c r="K36" s="64">
        <f>+(K$26*$I36+$N$8-$N$13-$N$17)+'Wheat Dual  ~700Lb'!$G$37+'Wheat Dual  ~700Lb'!$G$42</f>
        <v>-4.22809499999995</v>
      </c>
      <c r="L36" s="64">
        <f>+(L$26*$I36+$N$8-$N$13-$N$17)+'Wheat Dual  ~700Lb'!$G$37+'Wheat Dual  ~700Lb'!$G$42</f>
        <v>9.0719050000000045</v>
      </c>
      <c r="M36" s="64">
        <f>+(M$26*$I36+$N$8-$N$13-$N$17)+'Wheat Dual  ~700Lb'!$G$37+'Wheat Dual  ~700Lb'!$G$42</f>
        <v>22.371905000000016</v>
      </c>
      <c r="N36" s="65">
        <f>+(N$26*$I36+$N$8-$N$13-$N$17)+'Wheat Dual  ~700Lb'!$G$37+'Wheat Dual  ~700Lb'!$G$42</f>
        <v>35.671905000000024</v>
      </c>
      <c r="P36" s="62">
        <f>+P38*0.8</f>
        <v>28</v>
      </c>
      <c r="Q36" s="63">
        <f>+(Q$26*$P36*$U$6+$U$8-$U$13-$U$17)+'Wheat Dual ~800Lb'!$G$37+'Wheat Dual ~800Lb'!$G$42</f>
        <v>-52.806844999999967</v>
      </c>
      <c r="R36" s="64">
        <f>+(R$26*$P36*$U$6+$U$8-$U$13-$U$17)+'Wheat Dual ~800Lb'!$G$37+'Wheat Dual ~800Lb'!$G$42</f>
        <v>-44.494344999999996</v>
      </c>
      <c r="S36" s="64">
        <f>+(S$26*$P36*$U$6+$U$8-$U$13-$U$17)+'Wheat Dual ~800Lb'!$G$37+'Wheat Dual ~800Lb'!$G$42</f>
        <v>-36.181844999999996</v>
      </c>
      <c r="T36" s="64">
        <f>+(T$26*$P36*$U$6+$U$8-$U$13-$U$17)+'Wheat Dual ~800Lb'!$G$37+'Wheat Dual ~800Lb'!$G$42</f>
        <v>-27.869344999999992</v>
      </c>
      <c r="U36" s="65">
        <f>+(U$26*$P36*$U$6+$U$8-$U$13-$U$17)+'Wheat Dual ~800Lb'!$G$37+'Wheat Dual ~800Lb'!$G$42</f>
        <v>-19.556844999999992</v>
      </c>
      <c r="W36" s="62">
        <f>+W38*0.9</f>
        <v>206.79000000000002</v>
      </c>
      <c r="X36" s="63">
        <f>+(X$26*$W36)-$AB$13-$AB$17+'Wheat Graze Out'!$G$37+'Wheat Graze Out'!$G$42</f>
        <v>-157.82614999999998</v>
      </c>
      <c r="Y36" s="64">
        <f>+(Y$26*$W36)-$AB$13-$AB$17+'Wheat Graze Out'!$G$37+'Wheat Graze Out'!$G$42</f>
        <v>-127.84159999999996</v>
      </c>
      <c r="Z36" s="64">
        <f>+(Z$26*$W36)-$AB$13-$AB$17+'Wheat Graze Out'!$G$37+'Wheat Graze Out'!$G$42</f>
        <v>-114.40024999999996</v>
      </c>
      <c r="AA36" s="64">
        <f>+(AA$26*$W36)-$AB$13-$AB$17+'Wheat Graze Out'!$G$37+'Wheat Graze Out'!$G$42</f>
        <v>-104.06074999999997</v>
      </c>
      <c r="AB36" s="65">
        <f>+(AB$26*$W36)-$AB$13-$AB$17+'Wheat Graze Out'!$G$37+'Wheat Graze Out'!$G$42</f>
        <v>-83.381749999999968</v>
      </c>
      <c r="AD36" s="114">
        <f>+AD38*0.9</f>
        <v>189.94474719101123</v>
      </c>
      <c r="AE36" s="122">
        <f t="shared" ref="AE36:AI40" si="12">+(AE$26*$AD36)-$AI$13-$AI$17</f>
        <v>-47.744374462699248</v>
      </c>
      <c r="AF36" s="123">
        <f t="shared" si="12"/>
        <v>-20.202386120002608</v>
      </c>
      <c r="AG36" s="123">
        <f t="shared" si="12"/>
        <v>-26.850452271688006</v>
      </c>
      <c r="AH36" s="123">
        <f t="shared" si="12"/>
        <v>1.6412598069636744</v>
      </c>
      <c r="AI36" s="124">
        <f t="shared" si="12"/>
        <v>20.635734526064809</v>
      </c>
      <c r="AK36" s="114">
        <f>+AK38*0.9</f>
        <v>236.50006908679811</v>
      </c>
      <c r="AL36" s="122">
        <f>+(AL$26*$AK36)-$AP$13-$AP$17+Triticale!$F$37+Triticale!$F$38</f>
        <v>-69.166844601808833</v>
      </c>
      <c r="AM36" s="123">
        <f>+(AM$26*$AK36)-$AP$13-$AP$17+Triticale!$F$37+Triticale!$F$38</f>
        <v>-54.976840456600947</v>
      </c>
      <c r="AN36" s="123">
        <f>+(AN$26*$AK36)-$AP$13-$AP$17+Triticale!$F$37+Triticale!$F$38</f>
        <v>-43.151837002261026</v>
      </c>
      <c r="AO36" s="123">
        <f>+(AO$26*$AK36)-$AP$13-$AP$17+Triticale!$F$37+Triticale!$F$38</f>
        <v>-7.6768266392413391</v>
      </c>
      <c r="AP36" s="124">
        <f>+(AP$26*$AK36)-$AP$13-$AP$17+Triticale!$F$37+Triticale!$F$38</f>
        <v>15.973180269438503</v>
      </c>
    </row>
    <row r="37" spans="2:42" ht="15.75" thickBot="1" x14ac:dyDescent="0.3">
      <c r="B37" s="66">
        <f>+B38*0.9</f>
        <v>36</v>
      </c>
      <c r="C37" s="67">
        <f>+(C$26*$B37-$G$13-$G$17)+'Wheat Grain'!$G$37+'Wheat Grain'!$G$42</f>
        <v>22.092125000000028</v>
      </c>
      <c r="D37" s="68">
        <f>+(D$26*$B37-$G$13-$G$17)+'Wheat Grain'!$G$37+'Wheat Grain'!$G$42</f>
        <v>39.192125000000047</v>
      </c>
      <c r="E37" s="135">
        <f>+(E$26*$B37-$G$13-$G$17)+'Wheat Grain'!$G$37+'Wheat Grain'!$G$42</f>
        <v>56.292125000000013</v>
      </c>
      <c r="F37" s="68">
        <f>+(F$26*$B37-$G$13-$G$17)+'Wheat Grain'!$G$37+'Wheat Grain'!$G$42</f>
        <v>73.392124999999979</v>
      </c>
      <c r="G37" s="69">
        <f>+(G$26*$B37-$G$13-$G$17)+'Wheat Grain'!$G$37+'Wheat Grain'!$G$42</f>
        <v>90.492125000000058</v>
      </c>
      <c r="I37" s="66">
        <f>+I38*0.9</f>
        <v>31.5</v>
      </c>
      <c r="J37" s="67">
        <f>+(J$26*$I37+$N$8-$N$13-$N$17)+'Wheat Dual  ~700Lb'!$G$37+'Wheat Dual  ~700Lb'!$G$42</f>
        <v>12.39690500000005</v>
      </c>
      <c r="K37" s="68">
        <f>+(K$26*$I37+$N$8-$N$13-$N$17)+'Wheat Dual  ~700Lb'!$G$37+'Wheat Dual  ~700Lb'!$G$42</f>
        <v>27.359405000000027</v>
      </c>
      <c r="L37" s="135">
        <f>+(L$26*$I37+$N$8-$N$13-$N$17)+'Wheat Dual  ~700Lb'!$G$37+'Wheat Dual  ~700Lb'!$G$42</f>
        <v>42.321905000000001</v>
      </c>
      <c r="M37" s="68">
        <f>+(M$26*$I37+$N$8-$N$13-$N$17)+'Wheat Dual  ~700Lb'!$G$37+'Wheat Dual  ~700Lb'!$G$42</f>
        <v>57.284404999999978</v>
      </c>
      <c r="N37" s="69">
        <f>+(N$26*$I37+$N$8-$N$13-$N$17)+'Wheat Dual  ~700Lb'!$G$37+'Wheat Dual  ~700Lb'!$G$42</f>
        <v>72.246905000000012</v>
      </c>
      <c r="P37" s="66">
        <f>+P38*0.9</f>
        <v>31.5</v>
      </c>
      <c r="Q37" s="67">
        <f>+(Q$26*$P37*$U$6+$U$8-$U$13-$U$17)+'Wheat Dual ~800Lb'!$G$37+'Wheat Dual ~800Lb'!$G$42</f>
        <v>-34.103719999999996</v>
      </c>
      <c r="R37" s="68">
        <f>+(R$26*$P37*$U$6+$U$8-$U$13-$U$17)+'Wheat Dual ~800Lb'!$G$37+'Wheat Dual ~800Lb'!$G$42</f>
        <v>-24.752157499999992</v>
      </c>
      <c r="S37" s="135">
        <f>+(S$26*$P37*$U$6+$U$8-$U$13-$U$17)+'Wheat Dual ~800Lb'!$G$37+'Wheat Dual ~800Lb'!$G$42</f>
        <v>-15.400594999999992</v>
      </c>
      <c r="T37" s="68">
        <f>+(T$26*$P37*$U$6+$U$8-$U$13-$U$17)+'Wheat Dual ~800Lb'!$G$37+'Wheat Dual ~800Lb'!$G$42</f>
        <v>-6.049032499999992</v>
      </c>
      <c r="U37" s="69">
        <f>+(U$26*$P37*$U$6+$U$8-$U$13-$U$17)+'Wheat Dual ~800Lb'!$G$37+'Wheat Dual ~800Lb'!$G$42</f>
        <v>3.302530000000008</v>
      </c>
      <c r="W37" s="66">
        <f>+W38*0.95</f>
        <v>218.27833333333334</v>
      </c>
      <c r="X37" s="67">
        <f>+(X$26*$W37)-$AB$13-$AB$17+'Wheat Graze Out'!$G$37+'Wheat Graze Out'!$G$42</f>
        <v>-152.77128333333332</v>
      </c>
      <c r="Y37" s="68">
        <f>+(Y$26*$W37)-$AB$13-$AB$17+'Wheat Graze Out'!$G$37+'Wheat Graze Out'!$G$42</f>
        <v>-121.12092499999999</v>
      </c>
      <c r="Z37" s="135">
        <f>+(Z$26*$W37)-$AB$13-$AB$17+'Wheat Graze Out'!$G$37+'Wheat Graze Out'!$G$42</f>
        <v>-106.93283333333331</v>
      </c>
      <c r="AA37" s="68">
        <f>+(AA$26*$W37)-$AB$13-$AB$17+'Wheat Graze Out'!$G$37+'Wheat Graze Out'!$G$42</f>
        <v>-96.018916666666669</v>
      </c>
      <c r="AB37" s="69">
        <f>+(AB$26*$W37)-$AB$13-$AB$17+'Wheat Graze Out'!$G$37+'Wheat Graze Out'!$G$42</f>
        <v>-74.19108333333331</v>
      </c>
      <c r="AD37" s="115">
        <f>+AD38*0.95</f>
        <v>200.4972331460674</v>
      </c>
      <c r="AE37" s="125">
        <f t="shared" si="12"/>
        <v>-43.101280642474528</v>
      </c>
      <c r="AF37" s="91">
        <f t="shared" si="12"/>
        <v>-14.02918183629474</v>
      </c>
      <c r="AG37" s="91">
        <f t="shared" si="12"/>
        <v>-21.046584996407113</v>
      </c>
      <c r="AH37" s="91">
        <f t="shared" si="12"/>
        <v>9.0279999755029934</v>
      </c>
      <c r="AI37" s="126">
        <f t="shared" si="12"/>
        <v>29.077723290109745</v>
      </c>
      <c r="AK37" s="115">
        <f>+AK38*0.95</f>
        <v>249.63896181384243</v>
      </c>
      <c r="AL37" s="125">
        <f>+(AL$26*$AK37)-$AP$13-$AP$17+Triticale!$F$37+Triticale!$F$38</f>
        <v>-63.385731801909337</v>
      </c>
      <c r="AM37" s="91">
        <f>+(AM$26*$AK37)-$AP$13-$AP$17+Triticale!$F$37+Triticale!$F$38</f>
        <v>-48.407394093078786</v>
      </c>
      <c r="AN37" s="91">
        <f>+(AN$26*$AK37)-$AP$13-$AP$17+Triticale!$F$37+Triticale!$F$38</f>
        <v>-35.925446002386643</v>
      </c>
      <c r="AO37" s="91">
        <f>+(AO$26*$AK37)-$AP$13-$AP$17+Triticale!$F$37+Triticale!$F$38</f>
        <v>1.5203982696896805</v>
      </c>
      <c r="AP37" s="126">
        <f>+(AP$26*$AK37)-$AP$13-$AP$17+Triticale!$F$37+Triticale!$F$38</f>
        <v>26.484294451073936</v>
      </c>
    </row>
    <row r="38" spans="2:42" ht="15.75" thickBot="1" x14ac:dyDescent="0.3">
      <c r="B38" s="81">
        <f>+B29</f>
        <v>40</v>
      </c>
      <c r="C38" s="67">
        <f>+(C$26*$B38-$G$13-$G$17)+'Wheat Grain'!$G$37+'Wheat Grain'!$G$42</f>
        <v>56.292125000000013</v>
      </c>
      <c r="D38" s="133">
        <f>+(D$26*$B38-$G$13-$G$17)+'Wheat Grain'!$G$37+'Wheat Grain'!$G$42</f>
        <v>75.292125000000013</v>
      </c>
      <c r="E38" s="137">
        <f>+(E$26*$B38-$G$13-$G$17)+'Wheat Grain'!$G$37+'Wheat Grain'!$G$42</f>
        <v>94.292125000000013</v>
      </c>
      <c r="F38" s="134">
        <f>+(F$26*$B38-$G$13-$G$17)+'Wheat Grain'!$G$37+'Wheat Grain'!$G$42</f>
        <v>113.29212500000001</v>
      </c>
      <c r="G38" s="69">
        <f>+(G$26*$B38-$G$13-$G$17)+'Wheat Grain'!$G$37+'Wheat Grain'!$G$42</f>
        <v>132.29212500000008</v>
      </c>
      <c r="I38" s="81">
        <f>+I29</f>
        <v>35</v>
      </c>
      <c r="J38" s="67">
        <f>+(J$26*$I38+$N$8-$N$13-$N$17)+'Wheat Dual  ~700Lb'!$G$37+'Wheat Dual  ~700Lb'!$G$42</f>
        <v>42.321905000000001</v>
      </c>
      <c r="K38" s="133">
        <f>+(K$26*$I38+$N$8-$N$13-$N$17)+'Wheat Dual  ~700Lb'!$G$37+'Wheat Dual  ~700Lb'!$G$42</f>
        <v>58.946905000000001</v>
      </c>
      <c r="L38" s="137">
        <f>+(L$26*$I38+$N$8-$N$13-$N$17)+'Wheat Dual  ~700Lb'!$G$37+'Wheat Dual  ~700Lb'!$G$42</f>
        <v>75.571905000000001</v>
      </c>
      <c r="M38" s="134">
        <f>+(M$26*$I38+$N$8-$N$13-$N$17)+'Wheat Dual  ~700Lb'!$G$37+'Wheat Dual  ~700Lb'!$G$42</f>
        <v>92.196905000000001</v>
      </c>
      <c r="N38" s="69">
        <f>+(N$26*$I38+$N$8-$N$13-$N$17)+'Wheat Dual  ~700Lb'!$G$37+'Wheat Dual  ~700Lb'!$G$42</f>
        <v>108.82190500000006</v>
      </c>
      <c r="P38" s="81">
        <f>+P29</f>
        <v>35</v>
      </c>
      <c r="Q38" s="67">
        <f>+(Q$26*$P38*$U$6+$U$8-$U$13-$U$17)+'Wheat Dual ~800Lb'!$G$37+'Wheat Dual ~800Lb'!$G$42</f>
        <v>-15.400594999999992</v>
      </c>
      <c r="R38" s="133">
        <f>+(R$26*$P38*$U$6+$U$8-$U$13-$U$17)+'Wheat Dual ~800Lb'!$G$37+'Wheat Dual ~800Lb'!$G$42</f>
        <v>-5.009969999999992</v>
      </c>
      <c r="S38" s="137">
        <f>+(S$26*$P38*$U$6+$U$8-$U$13-$U$17)+'Wheat Dual ~800Lb'!$G$37+'Wheat Dual ~800Lb'!$G$42</f>
        <v>5.380655000000008</v>
      </c>
      <c r="T38" s="134">
        <f>+(T$26*$P38*$U$6+$U$8-$U$13-$U$17)+'Wheat Dual ~800Lb'!$G$37+'Wheat Dual ~800Lb'!$G$42</f>
        <v>15.771280000000008</v>
      </c>
      <c r="U38" s="69">
        <f>+(U$26*$P38*$U$6+$U$8-$U$13-$U$17)+'Wheat Dual ~800Lb'!$G$37+'Wheat Dual ~800Lb'!$G$42</f>
        <v>26.161905000000008</v>
      </c>
      <c r="W38" s="81">
        <f>+W29</f>
        <v>229.76666666666668</v>
      </c>
      <c r="X38" s="67">
        <f>+(X$26*$W38)-$AB$13-$AB$17+'Wheat Graze Out'!$G$37+'Wheat Graze Out'!$G$42</f>
        <v>-147.71641666666665</v>
      </c>
      <c r="Y38" s="133">
        <f>+(Y$26*$W38)-$AB$13-$AB$17+'Wheat Graze Out'!$G$37+'Wheat Graze Out'!$G$42</f>
        <v>-114.40024999999996</v>
      </c>
      <c r="Z38" s="137">
        <f>+(Z$26*$W38)-$AB$13-$AB$17+'Wheat Graze Out'!$G$37+'Wheat Graze Out'!$G$42</f>
        <v>-99.465416666666627</v>
      </c>
      <c r="AA38" s="134">
        <f>+(AA$26*$W38)-$AB$13-$AB$17+'Wheat Graze Out'!$G$37+'Wheat Graze Out'!$G$42</f>
        <v>-87.977083333333312</v>
      </c>
      <c r="AB38" s="69">
        <f>+(AB$26*$W38)-$AB$13-$AB$17+'Wheat Graze Out'!$G$37+'Wheat Graze Out'!$G$42</f>
        <v>-65.000416666666624</v>
      </c>
      <c r="AD38" s="116">
        <f>+AD29</f>
        <v>211.0497191011236</v>
      </c>
      <c r="AE38" s="125">
        <f t="shared" si="12"/>
        <v>-38.458186822249807</v>
      </c>
      <c r="AF38" s="91">
        <f t="shared" si="12"/>
        <v>-7.8559775525868787</v>
      </c>
      <c r="AG38" s="137">
        <f t="shared" si="12"/>
        <v>-15.242717721126198</v>
      </c>
      <c r="AH38" s="91">
        <f t="shared" si="12"/>
        <v>16.414740144042341</v>
      </c>
      <c r="AI38" s="126">
        <f t="shared" si="12"/>
        <v>37.519712054154709</v>
      </c>
      <c r="AK38" s="116">
        <f>+AK29</f>
        <v>262.77785454088678</v>
      </c>
      <c r="AL38" s="125">
        <f>+(AL$26*$AK38)-$AP$13-$AP$17+Triticale!$F$37+Triticale!$F$38</f>
        <v>-57.604619002009819</v>
      </c>
      <c r="AM38" s="91">
        <f>+(AM$26*$AK38)-$AP$13-$AP$17+Triticale!$F$37+Triticale!$F$38</f>
        <v>-41.83794772955661</v>
      </c>
      <c r="AN38" s="137">
        <f>+(AN$26*$AK38)-$AP$13-$AP$17+Triticale!$F$37+Triticale!$F$38</f>
        <v>-28.69905500251226</v>
      </c>
      <c r="AO38" s="91">
        <f>+(AO$26*$AK38)-$AP$13-$AP$17+Triticale!$F$37+Triticale!$F$38</f>
        <v>10.717623178620729</v>
      </c>
      <c r="AP38" s="126">
        <f>+(AP$26*$AK38)-$AP$13-$AP$17+Triticale!$F$37+Triticale!$F$38</f>
        <v>36.995408632709434</v>
      </c>
    </row>
    <row r="39" spans="2:42" x14ac:dyDescent="0.25">
      <c r="B39" s="66">
        <f>+B38*1.1</f>
        <v>44</v>
      </c>
      <c r="C39" s="67">
        <f>+(C$26*$B39-$G$13-$G$17)+'Wheat Grain'!$G$37+'Wheat Grain'!$G$42</f>
        <v>90.492125000000058</v>
      </c>
      <c r="D39" s="68">
        <f>+(D$26*$B39-$G$13-$G$17)+'Wheat Grain'!$G$37+'Wheat Grain'!$G$42</f>
        <v>111.39212500000004</v>
      </c>
      <c r="E39" s="136">
        <f>+(E$26*$B39-$G$13-$G$17)+'Wheat Grain'!$G$37+'Wheat Grain'!$G$42</f>
        <v>132.29212500000003</v>
      </c>
      <c r="F39" s="68">
        <f>+(F$26*$B39-$G$13-$G$17)+'Wheat Grain'!$G$37+'Wheat Grain'!$G$42</f>
        <v>153.192125</v>
      </c>
      <c r="G39" s="69">
        <f>+(G$26*$B39-$G$13-$G$17)+'Wheat Grain'!$G$37+'Wheat Grain'!$G$42</f>
        <v>174.0921250000001</v>
      </c>
      <c r="I39" s="66">
        <f>+I38*1.1</f>
        <v>38.5</v>
      </c>
      <c r="J39" s="67">
        <f>+(J$26*$I39+$N$8-$N$13-$N$17)+'Wheat Dual  ~700Lb'!$G$37+'Wheat Dual  ~700Lb'!$G$42</f>
        <v>72.246905000000012</v>
      </c>
      <c r="K39" s="68">
        <f>+(K$26*$I39+$N$8-$N$13-$N$17)+'Wheat Dual  ~700Lb'!$G$37+'Wheat Dual  ~700Lb'!$G$42</f>
        <v>90.534405000000035</v>
      </c>
      <c r="L39" s="136">
        <f>+(L$26*$I39+$N$8-$N$13-$N$17)+'Wheat Dual  ~700Lb'!$G$37+'Wheat Dual  ~700Lb'!$G$42</f>
        <v>108.821905</v>
      </c>
      <c r="M39" s="68">
        <f>+(M$26*$I39+$N$8-$N$13-$N$17)+'Wheat Dual  ~700Lb'!$G$37+'Wheat Dual  ~700Lb'!$G$42</f>
        <v>127.10940499999997</v>
      </c>
      <c r="N39" s="69">
        <f>+(N$26*$I39+$N$8-$N$13-$N$17)+'Wheat Dual  ~700Lb'!$G$37+'Wheat Dual  ~700Lb'!$G$42</f>
        <v>145.39690500000006</v>
      </c>
      <c r="P39" s="66">
        <f>+P38*1.1</f>
        <v>38.5</v>
      </c>
      <c r="Q39" s="67">
        <f>+(Q$26*$P39*$U$6+$U$8-$U$13-$U$17)+'Wheat Dual ~800Lb'!$G$37+'Wheat Dual ~800Lb'!$G$42</f>
        <v>3.302530000000008</v>
      </c>
      <c r="R39" s="68">
        <f>+(R$26*$P39*$U$6+$U$8-$U$13-$U$17)+'Wheat Dual ~800Lb'!$G$37+'Wheat Dual ~800Lb'!$G$42</f>
        <v>14.732217500000008</v>
      </c>
      <c r="S39" s="136">
        <f>+(S$26*$P39*$U$6+$U$8-$U$13-$U$17)+'Wheat Dual ~800Lb'!$G$37+'Wheat Dual ~800Lb'!$G$42</f>
        <v>26.161905000000008</v>
      </c>
      <c r="T39" s="68">
        <f>+(T$26*$P39*$U$6+$U$8-$U$13-$U$17)+'Wheat Dual ~800Lb'!$G$37+'Wheat Dual ~800Lb'!$G$42</f>
        <v>37.591592500000004</v>
      </c>
      <c r="U39" s="69">
        <f>+(U$26*$P39*$U$6+$U$8-$U$13-$U$17)+'Wheat Dual ~800Lb'!$G$37+'Wheat Dual ~800Lb'!$G$42</f>
        <v>49.021280000000004</v>
      </c>
      <c r="W39" s="66">
        <f>+W38*1.05</f>
        <v>241.25500000000002</v>
      </c>
      <c r="X39" s="67">
        <f>+(X$26*$W39)-$AB$13-$AB$17+'Wheat Graze Out'!$G$37+'Wheat Graze Out'!$G$42</f>
        <v>-142.66154999999998</v>
      </c>
      <c r="Y39" s="68">
        <f>+(Y$26*$W39)-$AB$13-$AB$17+'Wheat Graze Out'!$G$37+'Wheat Graze Out'!$G$42</f>
        <v>-107.67957499999996</v>
      </c>
      <c r="Z39" s="136">
        <f>+(Z$26*$W39)-$AB$13-$AB$17+'Wheat Graze Out'!$G$37+'Wheat Graze Out'!$G$42</f>
        <v>-91.997999999999976</v>
      </c>
      <c r="AA39" s="68">
        <f>+(AA$26*$W39)-$AB$13-$AB$17+'Wheat Graze Out'!$G$37+'Wheat Graze Out'!$G$42</f>
        <v>-79.935249999999982</v>
      </c>
      <c r="AB39" s="69">
        <f>+(AB$26*$W39)-$AB$13-$AB$17+'Wheat Graze Out'!$G$37+'Wheat Graze Out'!$G$42</f>
        <v>-55.809749999999966</v>
      </c>
      <c r="AD39" s="115">
        <f>+AD38*1.05</f>
        <v>221.6022050561798</v>
      </c>
      <c r="AE39" s="125">
        <f t="shared" si="12"/>
        <v>-33.815093002025073</v>
      </c>
      <c r="AF39" s="91">
        <f t="shared" si="12"/>
        <v>-1.6827732688789894</v>
      </c>
      <c r="AG39" s="91">
        <f t="shared" si="12"/>
        <v>-9.43885044584529</v>
      </c>
      <c r="AH39" s="91">
        <f t="shared" si="12"/>
        <v>23.80148031258166</v>
      </c>
      <c r="AI39" s="126">
        <f t="shared" si="12"/>
        <v>45.961700818199674</v>
      </c>
      <c r="AK39" s="115">
        <f>+AK38*1.05</f>
        <v>275.91674726793116</v>
      </c>
      <c r="AL39" s="125">
        <f>+(AL$26*$AK39)-$AP$13-$AP$17+Triticale!$F$37+Triticale!$F$38</f>
        <v>-51.823506202110288</v>
      </c>
      <c r="AM39" s="91">
        <f>+(AM$26*$AK39)-$AP$13-$AP$17+Triticale!$F$37+Triticale!$F$38</f>
        <v>-35.268501366034421</v>
      </c>
      <c r="AN39" s="91">
        <f>+(AN$26*$AK39)-$AP$13-$AP$17+Triticale!$F$37+Triticale!$F$38</f>
        <v>-21.472664002637856</v>
      </c>
      <c r="AO39" s="91">
        <f>+(AO$26*$AK39)-$AP$13-$AP$17+Triticale!$F$37+Triticale!$F$38</f>
        <v>19.914848087551803</v>
      </c>
      <c r="AP39" s="126">
        <f>+(AP$26*$AK39)-$AP$13-$AP$17+Triticale!$F$37+Triticale!$F$38</f>
        <v>47.506522814344926</v>
      </c>
    </row>
    <row r="40" spans="2:42" ht="15.75" thickBot="1" x14ac:dyDescent="0.3">
      <c r="B40" s="70">
        <f>+B38*1.2</f>
        <v>48</v>
      </c>
      <c r="C40" s="71">
        <f>+(C$26*$B40-$G$13-$G$17)+'Wheat Grain'!$G$37+'Wheat Grain'!$G$42</f>
        <v>124.69212500000005</v>
      </c>
      <c r="D40" s="72">
        <f>+(D$26*$B40-$G$13-$G$17)+'Wheat Grain'!$G$37+'Wheat Grain'!$G$42</f>
        <v>147.49212500000007</v>
      </c>
      <c r="E40" s="72">
        <f>+(E$26*$B40-$G$13-$G$17)+'Wheat Grain'!$G$37+'Wheat Grain'!$G$42</f>
        <v>170.29212500000003</v>
      </c>
      <c r="F40" s="72">
        <f>+(F$26*$B40-$G$13-$G$17)+'Wheat Grain'!$G$37+'Wheat Grain'!$G$42</f>
        <v>193.09212499999998</v>
      </c>
      <c r="G40" s="73">
        <f>+(G$26*$B40-$G$13-$G$17)+'Wheat Grain'!$G$37+'Wheat Grain'!$G$42</f>
        <v>215.89212500000005</v>
      </c>
      <c r="I40" s="70">
        <f>+I38*1.2</f>
        <v>42</v>
      </c>
      <c r="J40" s="71">
        <f>+(J$26*$I40+$N$8-$N$13-$N$17)+'Wheat Dual  ~700Lb'!$G$37+'Wheat Dual  ~700Lb'!$G$42</f>
        <v>102.17190500000002</v>
      </c>
      <c r="K40" s="72">
        <f>+(K$26*$I40+$N$8-$N$13-$N$17)+'Wheat Dual  ~700Lb'!$G$37+'Wheat Dual  ~700Lb'!$G$42</f>
        <v>122.12190500000001</v>
      </c>
      <c r="L40" s="72">
        <f>+(L$26*$I40+$N$8-$N$13-$N$17)+'Wheat Dual  ~700Lb'!$G$37+'Wheat Dual  ~700Lb'!$G$42</f>
        <v>142.07190500000002</v>
      </c>
      <c r="M40" s="72">
        <f>+(M$26*$I40+$N$8-$N$13-$N$17)+'Wheat Dual  ~700Lb'!$G$37+'Wheat Dual  ~700Lb'!$G$42</f>
        <v>162.02190499999998</v>
      </c>
      <c r="N40" s="73">
        <f>+(N$26*$I40+$N$8-$N$13-$N$17)+'Wheat Dual  ~700Lb'!$G$37+'Wheat Dual  ~700Lb'!$G$42</f>
        <v>181.97190500000002</v>
      </c>
      <c r="P40" s="70">
        <f>+P38*1.2</f>
        <v>42</v>
      </c>
      <c r="Q40" s="71">
        <f>+(Q$26*$P40*$U$6+$U$8-$U$13-$U$17)+'Wheat Dual ~800Lb'!$G$37+'Wheat Dual ~800Lb'!$G$42</f>
        <v>22.005655000000008</v>
      </c>
      <c r="R40" s="72">
        <f>+(R$26*$P40*$U$6+$U$8-$U$13-$U$17)+'Wheat Dual ~800Lb'!$G$37+'Wheat Dual ~800Lb'!$G$42</f>
        <v>34.474405000000004</v>
      </c>
      <c r="S40" s="72">
        <f>+(S$26*$P40*$U$6+$U$8-$U$13-$U$17)+'Wheat Dual ~800Lb'!$G$37+'Wheat Dual ~800Lb'!$G$42</f>
        <v>46.943155000000004</v>
      </c>
      <c r="T40" s="72">
        <f>+(T$26*$P40*$U$6+$U$8-$U$13-$U$17)+'Wheat Dual ~800Lb'!$G$37+'Wheat Dual ~800Lb'!$G$42</f>
        <v>59.411905000000004</v>
      </c>
      <c r="U40" s="73">
        <f>+(U$26*$P40*$U$6+$U$8-$U$13-$U$17)+'Wheat Dual ~800Lb'!$G$37+'Wheat Dual ~800Lb'!$G$42</f>
        <v>71.880655000000004</v>
      </c>
      <c r="W40" s="70">
        <f>+W39*1.1</f>
        <v>265.38050000000004</v>
      </c>
      <c r="X40" s="71">
        <f>+(X$26*$W40)-$AB$13-$AB$17+'Wheat Graze Out'!$G$37+'Wheat Graze Out'!$G$42</f>
        <v>-132.04632999999998</v>
      </c>
      <c r="Y40" s="72">
        <f>+(Y$26*$W40)-$AB$13-$AB$17+'Wheat Graze Out'!$G$37+'Wheat Graze Out'!$G$42</f>
        <v>-93.566157499999932</v>
      </c>
      <c r="Z40" s="72">
        <f>+(Z$26*$W40)-$AB$13-$AB$17+'Wheat Graze Out'!$G$37+'Wheat Graze Out'!$G$42</f>
        <v>-76.316424999999938</v>
      </c>
      <c r="AA40" s="72">
        <f>+(AA$26*$W40)-$AB$13-$AB$17+'Wheat Graze Out'!$G$37+'Wheat Graze Out'!$G$42</f>
        <v>-63.047399999999968</v>
      </c>
      <c r="AB40" s="73">
        <f>+(AB$26*$W40)-$AB$13-$AB$17+'Wheat Graze Out'!$G$37+'Wheat Graze Out'!$G$42</f>
        <v>-36.509349999999941</v>
      </c>
      <c r="AD40" s="117">
        <f>+AD39*1.1</f>
        <v>243.76242556179778</v>
      </c>
      <c r="AE40" s="127">
        <f t="shared" si="12"/>
        <v>-24.064595979553168</v>
      </c>
      <c r="AF40" s="128">
        <f t="shared" si="12"/>
        <v>11.28095572690755</v>
      </c>
      <c r="AG40" s="128">
        <f t="shared" si="12"/>
        <v>2.7492708322446191</v>
      </c>
      <c r="AH40" s="128">
        <f t="shared" si="12"/>
        <v>39.313634666514261</v>
      </c>
      <c r="AI40" s="129">
        <f t="shared" si="12"/>
        <v>63.689877222694051</v>
      </c>
      <c r="AK40" s="117">
        <f>+AK39*1.1</f>
        <v>303.5084219947243</v>
      </c>
      <c r="AL40" s="127">
        <f>+(AL$26*$AK40)-$AP$13-$AP$17+Triticale!$F$37+Triticale!$F$38</f>
        <v>-39.683169322321298</v>
      </c>
      <c r="AM40" s="128">
        <f>+(AM$26*$AK40)-$AP$13-$AP$17+Triticale!$F$37+Triticale!$F$38</f>
        <v>-21.472664002637856</v>
      </c>
      <c r="AN40" s="128">
        <f>+(AN$26*$AK40)-$AP$13-$AP$17+Triticale!$F$37+Triticale!$F$38</f>
        <v>-6.2972429029016137</v>
      </c>
      <c r="AO40" s="128">
        <f>+(AO$26*$AK40)-$AP$13-$AP$17+Triticale!$F$37+Triticale!$F$38</f>
        <v>39.229020396307</v>
      </c>
      <c r="AP40" s="129">
        <f>+(AP$26*$AK40)-$AP$13-$AP$17+Triticale!$F$37+Triticale!$F$38</f>
        <v>69.579862595779446</v>
      </c>
    </row>
    <row r="41" spans="2:42" ht="16.5" thickTop="1" thickBot="1" x14ac:dyDescent="0.3">
      <c r="B41" s="92"/>
      <c r="C41" s="91"/>
      <c r="D41" s="91"/>
      <c r="E41" s="91"/>
      <c r="F41" s="91"/>
      <c r="G41" s="91"/>
      <c r="I41" s="92"/>
      <c r="J41" s="91"/>
      <c r="K41" s="91"/>
      <c r="L41" s="91"/>
      <c r="M41" s="91"/>
      <c r="N41" s="91"/>
      <c r="P41" s="92"/>
      <c r="Q41" s="91"/>
      <c r="R41" s="91"/>
      <c r="S41" s="91"/>
      <c r="T41" s="91"/>
      <c r="U41" s="91"/>
      <c r="W41" s="92"/>
      <c r="X41" s="91"/>
      <c r="Y41" s="91"/>
      <c r="Z41" s="91"/>
      <c r="AA41" s="91"/>
      <c r="AB41" s="91"/>
      <c r="AD41" s="92"/>
      <c r="AE41" s="91"/>
      <c r="AF41" s="91"/>
      <c r="AG41" s="91"/>
      <c r="AH41" s="91"/>
      <c r="AI41" s="91"/>
      <c r="AK41" s="92"/>
      <c r="AL41" s="91"/>
      <c r="AM41" s="91"/>
      <c r="AN41" s="91"/>
      <c r="AO41" s="91"/>
      <c r="AP41" s="91"/>
    </row>
    <row r="42" spans="2:42" ht="16.5" thickTop="1" thickBot="1" x14ac:dyDescent="0.3">
      <c r="B42" s="352" t="s">
        <v>118</v>
      </c>
      <c r="C42" s="353"/>
      <c r="D42" s="353"/>
      <c r="E42" s="353"/>
      <c r="F42" s="353"/>
      <c r="G42" s="354"/>
      <c r="I42" s="352" t="s">
        <v>116</v>
      </c>
      <c r="J42" s="353"/>
      <c r="K42" s="353"/>
      <c r="L42" s="353"/>
      <c r="M42" s="353"/>
      <c r="N42" s="354"/>
      <c r="P42" s="352" t="s">
        <v>116</v>
      </c>
      <c r="Q42" s="353"/>
      <c r="R42" s="353"/>
      <c r="S42" s="353"/>
      <c r="T42" s="353"/>
      <c r="U42" s="354"/>
      <c r="W42" s="352" t="s">
        <v>116</v>
      </c>
      <c r="X42" s="353"/>
      <c r="Y42" s="353"/>
      <c r="Z42" s="353"/>
      <c r="AA42" s="353"/>
      <c r="AB42" s="354"/>
      <c r="AD42" s="352" t="s">
        <v>116</v>
      </c>
      <c r="AE42" s="353"/>
      <c r="AF42" s="353"/>
      <c r="AG42" s="353"/>
      <c r="AH42" s="353"/>
      <c r="AI42" s="354"/>
      <c r="AK42" s="352" t="s">
        <v>116</v>
      </c>
      <c r="AL42" s="353"/>
      <c r="AM42" s="353"/>
      <c r="AN42" s="353"/>
      <c r="AO42" s="353"/>
      <c r="AP42" s="354"/>
    </row>
    <row r="43" spans="2:42" ht="15.75" thickTop="1" x14ac:dyDescent="0.25">
      <c r="B43" s="60" t="s">
        <v>58</v>
      </c>
      <c r="C43" s="355" t="s">
        <v>114</v>
      </c>
      <c r="D43" s="356"/>
      <c r="E43" s="356" t="s">
        <v>60</v>
      </c>
      <c r="F43" s="356"/>
      <c r="G43" s="357"/>
      <c r="I43" s="60" t="s">
        <v>58</v>
      </c>
      <c r="J43" s="355" t="s">
        <v>114</v>
      </c>
      <c r="K43" s="356"/>
      <c r="L43" s="356" t="s">
        <v>60</v>
      </c>
      <c r="M43" s="356"/>
      <c r="N43" s="357"/>
      <c r="P43" s="60" t="s">
        <v>58</v>
      </c>
      <c r="Q43" s="355" t="s">
        <v>114</v>
      </c>
      <c r="R43" s="356"/>
      <c r="S43" s="356" t="s">
        <v>60</v>
      </c>
      <c r="T43" s="356"/>
      <c r="U43" s="357"/>
      <c r="W43" s="60" t="s">
        <v>109</v>
      </c>
      <c r="X43" s="355" t="s">
        <v>107</v>
      </c>
      <c r="Y43" s="356"/>
      <c r="Z43" s="356"/>
      <c r="AA43" s="356"/>
      <c r="AB43" s="357"/>
      <c r="AD43" s="60" t="s">
        <v>109</v>
      </c>
      <c r="AE43" s="355" t="s">
        <v>107</v>
      </c>
      <c r="AF43" s="356"/>
      <c r="AG43" s="356"/>
      <c r="AH43" s="356"/>
      <c r="AI43" s="357"/>
      <c r="AK43" s="60" t="s">
        <v>109</v>
      </c>
      <c r="AL43" s="355" t="s">
        <v>107</v>
      </c>
      <c r="AM43" s="356"/>
      <c r="AN43" s="356"/>
      <c r="AO43" s="356"/>
      <c r="AP43" s="357"/>
    </row>
    <row r="44" spans="2:42" ht="15.75" thickBot="1" x14ac:dyDescent="0.3">
      <c r="B44" s="61"/>
      <c r="C44" s="74">
        <f>+E44*0.9</f>
        <v>8.5500000000000007</v>
      </c>
      <c r="D44" s="75">
        <f>+E44*0.95</f>
        <v>9.0250000000000004</v>
      </c>
      <c r="E44" s="80">
        <f>+E35</f>
        <v>9.5</v>
      </c>
      <c r="F44" s="75">
        <f>+E44*1.05</f>
        <v>9.9749999999999996</v>
      </c>
      <c r="G44" s="76">
        <f>+E44*1.1</f>
        <v>10.450000000000001</v>
      </c>
      <c r="I44" s="61"/>
      <c r="J44" s="74">
        <f>+L44*0.9</f>
        <v>8.5500000000000007</v>
      </c>
      <c r="K44" s="75">
        <f>+L44*0.95</f>
        <v>9.0250000000000004</v>
      </c>
      <c r="L44" s="80">
        <f>+L35</f>
        <v>9.5</v>
      </c>
      <c r="M44" s="75">
        <f>+L44*1.05</f>
        <v>9.9749999999999996</v>
      </c>
      <c r="N44" s="76">
        <f>+L44*1.1</f>
        <v>10.450000000000001</v>
      </c>
      <c r="P44" s="61"/>
      <c r="Q44" s="74">
        <f>+S44*0.9</f>
        <v>8.5500000000000007</v>
      </c>
      <c r="R44" s="75">
        <f>+S44*0.95</f>
        <v>9.0250000000000004</v>
      </c>
      <c r="S44" s="80">
        <f>+S35</f>
        <v>9.5</v>
      </c>
      <c r="T44" s="75">
        <f>+S44*1.05</f>
        <v>9.9749999999999996</v>
      </c>
      <c r="U44" s="76">
        <f>+S44*1.1</f>
        <v>10.450000000000001</v>
      </c>
      <c r="W44" s="61" t="s">
        <v>8</v>
      </c>
      <c r="X44" s="74">
        <f>+X35</f>
        <v>0.44</v>
      </c>
      <c r="Y44" s="75">
        <f>+Y35</f>
        <v>0.58500000000000008</v>
      </c>
      <c r="Z44" s="90">
        <f>+Z35</f>
        <v>0.65</v>
      </c>
      <c r="AA44" s="75">
        <f>+AA35</f>
        <v>0.7</v>
      </c>
      <c r="AB44" s="76">
        <f>+AB35</f>
        <v>0.8</v>
      </c>
      <c r="AD44" s="61" t="s">
        <v>8</v>
      </c>
      <c r="AE44" s="74">
        <f>+AE35</f>
        <v>0.44</v>
      </c>
      <c r="AF44" s="75">
        <f>+AF35</f>
        <v>0.49500000000000005</v>
      </c>
      <c r="AG44" s="80">
        <f>+AG35</f>
        <v>0.55000000000000004</v>
      </c>
      <c r="AH44" s="75">
        <f>+AH35</f>
        <v>0.7</v>
      </c>
      <c r="AI44" s="76">
        <f>+AI35</f>
        <v>0.8</v>
      </c>
      <c r="AK44" s="61" t="s">
        <v>8</v>
      </c>
      <c r="AL44" s="74">
        <f>+AL35</f>
        <v>0.44</v>
      </c>
      <c r="AM44" s="75">
        <f>+AM35</f>
        <v>0.49500000000000005</v>
      </c>
      <c r="AN44" s="80">
        <f>+AN35</f>
        <v>0.55000000000000004</v>
      </c>
      <c r="AO44" s="75">
        <f>+AO35</f>
        <v>0.7</v>
      </c>
      <c r="AP44" s="76">
        <f>+AP35</f>
        <v>0.8</v>
      </c>
    </row>
    <row r="45" spans="2:42" ht="15.75" thickTop="1" x14ac:dyDescent="0.25">
      <c r="B45" s="62">
        <f>+B47*0.8</f>
        <v>32</v>
      </c>
      <c r="C45" s="63">
        <f>+(C$26*$B45-$G$13-$G$17)+'Wheat Grain'!$G$37+'Wheat Grain'!$G$42+$G$12-$G$51</f>
        <v>21.292125000000045</v>
      </c>
      <c r="D45" s="64">
        <f>+(D$26*$B45-$G$13-$G$17)+'Wheat Grain'!$G$37+'Wheat Grain'!$G$42+$G$12-$G$51</f>
        <v>36.49212500000003</v>
      </c>
      <c r="E45" s="64">
        <f>+(E$26*$B45-$G$13-$G$17)+'Wheat Grain'!$G$37+'Wheat Grain'!$G$42+$G$12-$G$51</f>
        <v>51.692125000000019</v>
      </c>
      <c r="F45" s="64">
        <f>+(F$26*$B45-$G$13-$G$17)+'Wheat Grain'!$G$37+'Wheat Grain'!$G$42+$G$12-$G$51</f>
        <v>66.892125000000007</v>
      </c>
      <c r="G45" s="65">
        <f>+(G$26*$B45-$G$13-$G$17)+'Wheat Grain'!$G$37+'Wheat Grain'!$G$42+$G$12-$G$51</f>
        <v>82.092125000000053</v>
      </c>
      <c r="I45" s="62">
        <f>+I47*0.8</f>
        <v>28</v>
      </c>
      <c r="J45" s="63">
        <f>+(J$26*$I45+$N$8-$N$13-$N$17)+'Wheat Dual  ~700Lb'!$G$37+'Wheat Dual  ~700Lb'!$G$42+$N$12-$N$51</f>
        <v>15.871905000000044</v>
      </c>
      <c r="K45" s="64">
        <f>+(K$26*$I45+$N$8-$N$13-$N$17)+'Wheat Dual  ~700Lb'!$G$37+'Wheat Dual  ~700Lb'!$G$42+$N$12-$N$51</f>
        <v>29.171905000000056</v>
      </c>
      <c r="L45" s="64">
        <f>+(L$26*$I45+$N$8-$N$13-$N$17)+'Wheat Dual  ~700Lb'!$G$37+'Wheat Dual  ~700Lb'!$G$42+$N$12-$N$51</f>
        <v>42.471905000000007</v>
      </c>
      <c r="M45" s="64">
        <f>+(M$26*$I45+$N$8-$N$13-$N$17)+'Wheat Dual  ~700Lb'!$G$37+'Wheat Dual  ~700Lb'!$G$42+$N$12-$N$51</f>
        <v>55.771905000000018</v>
      </c>
      <c r="N45" s="65">
        <f>+(N$26*$I45+$N$8-$N$13-$N$17)+'Wheat Dual  ~700Lb'!$G$37+'Wheat Dual  ~700Lb'!$G$42+$N$12-$N$51</f>
        <v>69.071905000000029</v>
      </c>
      <c r="P45" s="62">
        <f>+P47*0.8</f>
        <v>28</v>
      </c>
      <c r="Q45" s="63">
        <f>+(Q$26*$P45*$U$6+$U$8-$U$13-$U$17)+'Wheat Dual ~800Lb'!$G$37+'Wheat Dual ~800Lb'!$G$42+$U$12-$U$51*$U$6</f>
        <v>-31.931844999999967</v>
      </c>
      <c r="R45" s="64">
        <f>+(R$26*$P45*$U$6+$U$8-$U$13-$U$17)+'Wheat Dual ~800Lb'!$G$37+'Wheat Dual ~800Lb'!$G$42+$U$12-$U$51*$U$6</f>
        <v>-23.619344999999996</v>
      </c>
      <c r="S45" s="64">
        <f>+(S$26*$P45*$U$6+$U$8-$U$13-$U$17)+'Wheat Dual ~800Lb'!$G$37+'Wheat Dual ~800Lb'!$G$42+$U$12-$U$51*$U$6</f>
        <v>-15.306844999999996</v>
      </c>
      <c r="T45" s="64">
        <f>+(T$26*$P45*$U$6+$U$8-$U$13-$U$17)+'Wheat Dual ~800Lb'!$G$37+'Wheat Dual ~800Lb'!$G$42+$U$12-$U$51*$U$6</f>
        <v>-6.994344999999992</v>
      </c>
      <c r="U45" s="65">
        <f>+(U$26*$P45*$U$6+$U$8-$U$13-$U$17)+'Wheat Dual ~800Lb'!$G$37+'Wheat Dual ~800Lb'!$G$42+$U$12-$U$51*$U$6</f>
        <v>1.318155000000008</v>
      </c>
      <c r="W45" s="62">
        <f>+W47*0.9</f>
        <v>206.79000000000002</v>
      </c>
      <c r="X45" s="63">
        <f>+(X$26*$W45)-$AB$13-$AB$17+'Wheat Graze Out'!$G$37+'Wheat Graze Out'!$G$42</f>
        <v>-157.82614999999998</v>
      </c>
      <c r="Y45" s="64">
        <f>+(Y$26*$W45)-$AB$13-$AB$17+'Wheat Graze Out'!$G$37+'Wheat Graze Out'!$G$42</f>
        <v>-127.84159999999996</v>
      </c>
      <c r="Z45" s="64">
        <f>+(Z$26*$W45)-$AB$13-$AB$17+'Wheat Graze Out'!$G$37+'Wheat Graze Out'!$G$42</f>
        <v>-114.40024999999996</v>
      </c>
      <c r="AA45" s="64">
        <f>+(AA$26*$W45)-$AB$13-$AB$17+'Wheat Graze Out'!$G$37+'Wheat Graze Out'!$G$42</f>
        <v>-104.06074999999997</v>
      </c>
      <c r="AB45" s="65">
        <f>+(AB$26*$W45)-$AB$13-$AB$17+'Wheat Graze Out'!$G$37+'Wheat Graze Out'!$G$42</f>
        <v>-83.381749999999968</v>
      </c>
      <c r="AD45" s="62">
        <f>+AD47*0.9</f>
        <v>189.94474719101123</v>
      </c>
      <c r="AE45" s="63">
        <f>+AE36</f>
        <v>-47.744374462699248</v>
      </c>
      <c r="AF45" s="64">
        <f t="shared" ref="AF45:AI45" si="13">+AF36</f>
        <v>-20.202386120002608</v>
      </c>
      <c r="AG45" s="64">
        <f t="shared" si="13"/>
        <v>-26.850452271688006</v>
      </c>
      <c r="AH45" s="64">
        <f t="shared" si="13"/>
        <v>1.6412598069636744</v>
      </c>
      <c r="AI45" s="65">
        <f t="shared" si="13"/>
        <v>20.635734526064809</v>
      </c>
      <c r="AK45" s="62">
        <f>+AK47*0.9</f>
        <v>236.50006908679811</v>
      </c>
      <c r="AL45" s="63">
        <f>+AL36</f>
        <v>-69.166844601808833</v>
      </c>
      <c r="AM45" s="64">
        <f t="shared" ref="AM45:AP45" si="14">+AM36</f>
        <v>-54.976840456600947</v>
      </c>
      <c r="AN45" s="64">
        <f t="shared" si="14"/>
        <v>-43.151837002261026</v>
      </c>
      <c r="AO45" s="64">
        <f t="shared" si="14"/>
        <v>-7.6768266392413391</v>
      </c>
      <c r="AP45" s="65">
        <f t="shared" si="14"/>
        <v>15.973180269438503</v>
      </c>
    </row>
    <row r="46" spans="2:42" ht="15.75" thickBot="1" x14ac:dyDescent="0.3">
      <c r="B46" s="66">
        <f>+B47*0.9</f>
        <v>36</v>
      </c>
      <c r="C46" s="67">
        <f>+(C$26*$B46-$G$13-$G$17)+'Wheat Grain'!$G$37+'Wheat Grain'!$G$42+$G$12-$G$51</f>
        <v>55.49212500000003</v>
      </c>
      <c r="D46" s="68">
        <f>+(D$26*$B46-$G$13-$G$17)+'Wheat Grain'!$G$37+'Wheat Grain'!$G$42+$G$12-$G$51</f>
        <v>72.592125000000053</v>
      </c>
      <c r="E46" s="135">
        <f>+(E$26*$B46-$G$13-$G$17)+'Wheat Grain'!$G$37+'Wheat Grain'!$G$42+$G$12-$G$51</f>
        <v>89.692125000000019</v>
      </c>
      <c r="F46" s="68">
        <f>+(F$26*$B46-$G$13-$G$17)+'Wheat Grain'!$G$37+'Wheat Grain'!$G$42+$G$12-$G$51</f>
        <v>106.79212499999998</v>
      </c>
      <c r="G46" s="69">
        <f>+(G$26*$B46-$G$13-$G$17)+'Wheat Grain'!$G$37+'Wheat Grain'!$G$42+$G$12-$G$51</f>
        <v>123.89212500000006</v>
      </c>
      <c r="I46" s="66">
        <f>+I47*0.9</f>
        <v>31.5</v>
      </c>
      <c r="J46" s="67">
        <f>+(J$26*$I46+$N$8-$N$13-$N$17)+'Wheat Dual  ~700Lb'!$G$37+'Wheat Dual  ~700Lb'!$G$42+$N$12-$N$51</f>
        <v>45.796905000000052</v>
      </c>
      <c r="K46" s="68">
        <f>+(K$26*$I46+$N$8-$N$13-$N$17)+'Wheat Dual  ~700Lb'!$G$37+'Wheat Dual  ~700Lb'!$G$42+$N$12-$N$51</f>
        <v>60.759405000000029</v>
      </c>
      <c r="L46" s="135">
        <f>+(L$26*$I46+$N$8-$N$13-$N$17)+'Wheat Dual  ~700Lb'!$G$37+'Wheat Dual  ~700Lb'!$G$42+$N$12-$N$51</f>
        <v>75.721905000000007</v>
      </c>
      <c r="M46" s="68">
        <f>+(M$26*$I46+$N$8-$N$13-$N$17)+'Wheat Dual  ~700Lb'!$G$37+'Wheat Dual  ~700Lb'!$G$42+$N$12-$N$51</f>
        <v>90.684404999999984</v>
      </c>
      <c r="N46" s="69">
        <f>+(N$26*$I46+$N$8-$N$13-$N$17)+'Wheat Dual  ~700Lb'!$G$37+'Wheat Dual  ~700Lb'!$G$42+$N$12-$N$51</f>
        <v>105.64690500000002</v>
      </c>
      <c r="P46" s="66">
        <f>+P47*0.9</f>
        <v>31.5</v>
      </c>
      <c r="Q46" s="67">
        <f>+(Q$26*$P46*$U$6+$U$8-$U$13-$U$17)+'Wheat Dual ~800Lb'!$G$37+'Wheat Dual ~800Lb'!$G$42+$U$12-$U$51*$U$6</f>
        <v>-13.228719999999996</v>
      </c>
      <c r="R46" s="68">
        <f>+(R$26*$P46*$U$6+$U$8-$U$13-$U$17)+'Wheat Dual ~800Lb'!$G$37+'Wheat Dual ~800Lb'!$G$42+$U$12-$U$51*$U$6</f>
        <v>-3.877157499999992</v>
      </c>
      <c r="S46" s="135">
        <f>+(S$26*$P46*$U$6+$U$8-$U$13-$U$17)+'Wheat Dual ~800Lb'!$G$37+'Wheat Dual ~800Lb'!$G$42+$U$12-$U$51*$U$6</f>
        <v>5.474405000000008</v>
      </c>
      <c r="T46" s="68">
        <f>+(T$26*$P46*$U$6+$U$8-$U$13-$U$17)+'Wheat Dual ~800Lb'!$G$37+'Wheat Dual ~800Lb'!$G$42+$U$12-$U$51*$U$6</f>
        <v>14.825967500000008</v>
      </c>
      <c r="U46" s="69">
        <f>+(U$26*$P46*$U$6+$U$8-$U$13-$U$17)+'Wheat Dual ~800Lb'!$G$37+'Wheat Dual ~800Lb'!$G$42+$U$12-$U$51*$U$6</f>
        <v>24.177530000000004</v>
      </c>
      <c r="W46" s="66">
        <f>+W47*0.95</f>
        <v>218.27833333333334</v>
      </c>
      <c r="X46" s="67">
        <f>+(X$26*$W46)-$AB$13-$AB$17+'Wheat Graze Out'!$G$37+'Wheat Graze Out'!$G$42</f>
        <v>-152.77128333333332</v>
      </c>
      <c r="Y46" s="68">
        <f>+(Y$26*$W46)-$AB$13-$AB$17+'Wheat Graze Out'!$G$37+'Wheat Graze Out'!$G$42</f>
        <v>-121.12092499999999</v>
      </c>
      <c r="Z46" s="135">
        <f>+(Z$26*$W46)-$AB$13-$AB$17+'Wheat Graze Out'!$G$37+'Wheat Graze Out'!$G$42</f>
        <v>-106.93283333333331</v>
      </c>
      <c r="AA46" s="68">
        <f>+(AA$26*$W46)-$AB$13-$AB$17+'Wheat Graze Out'!$G$37+'Wheat Graze Out'!$G$42</f>
        <v>-96.018916666666669</v>
      </c>
      <c r="AB46" s="69">
        <f>+(AB$26*$W46)-$AB$13-$AB$17+'Wheat Graze Out'!$G$37+'Wheat Graze Out'!$G$42</f>
        <v>-74.19108333333331</v>
      </c>
      <c r="AD46" s="66">
        <f>+AD47*0.95</f>
        <v>200.4972331460674</v>
      </c>
      <c r="AE46" s="67">
        <f t="shared" ref="AE46:AI49" si="15">+AE37</f>
        <v>-43.101280642474528</v>
      </c>
      <c r="AF46" s="68">
        <f t="shared" si="15"/>
        <v>-14.02918183629474</v>
      </c>
      <c r="AG46" s="135">
        <f t="shared" si="15"/>
        <v>-21.046584996407113</v>
      </c>
      <c r="AH46" s="68">
        <f t="shared" si="15"/>
        <v>9.0279999755029934</v>
      </c>
      <c r="AI46" s="69">
        <f t="shared" si="15"/>
        <v>29.077723290109745</v>
      </c>
      <c r="AK46" s="66">
        <f>+AK47*0.95</f>
        <v>249.63896181384243</v>
      </c>
      <c r="AL46" s="67">
        <f t="shared" ref="AL46:AP46" si="16">+AL37</f>
        <v>-63.385731801909337</v>
      </c>
      <c r="AM46" s="68">
        <f t="shared" si="16"/>
        <v>-48.407394093078786</v>
      </c>
      <c r="AN46" s="135">
        <f t="shared" si="16"/>
        <v>-35.925446002386643</v>
      </c>
      <c r="AO46" s="68">
        <f t="shared" si="16"/>
        <v>1.5203982696896805</v>
      </c>
      <c r="AP46" s="69">
        <f t="shared" si="16"/>
        <v>26.484294451073936</v>
      </c>
    </row>
    <row r="47" spans="2:42" ht="15.75" thickBot="1" x14ac:dyDescent="0.3">
      <c r="B47" s="81">
        <f>+B38</f>
        <v>40</v>
      </c>
      <c r="C47" s="67">
        <f>+(C$26*$B47-$G$13-$G$17)+'Wheat Grain'!$G$37+'Wheat Grain'!$G$42+$G$12-$G$51</f>
        <v>89.692125000000019</v>
      </c>
      <c r="D47" s="133">
        <f>+(D$26*$B47-$G$13-$G$17)+'Wheat Grain'!$G$37+'Wheat Grain'!$G$42+$G$12-$G$51</f>
        <v>108.69212500000002</v>
      </c>
      <c r="E47" s="137">
        <f>+(E$26*$B47-$G$13-$G$17)+'Wheat Grain'!$G$37+'Wheat Grain'!$G$42+$G$12-$G$51</f>
        <v>127.69212500000002</v>
      </c>
      <c r="F47" s="134">
        <f>+(F$26*$B47-$G$13-$G$17)+'Wheat Grain'!$G$37+'Wheat Grain'!$G$42+$G$12-$G$51</f>
        <v>146.69212500000003</v>
      </c>
      <c r="G47" s="69">
        <f>+(G$26*$B47-$G$13-$G$17)+'Wheat Grain'!$G$37+'Wheat Grain'!$G$42+$G$12-$G$51</f>
        <v>165.69212500000009</v>
      </c>
      <c r="I47" s="81">
        <f>+I38</f>
        <v>35</v>
      </c>
      <c r="J47" s="67">
        <f>+(J$26*$I47+$N$8-$N$13-$N$17)+'Wheat Dual  ~700Lb'!$G$37+'Wheat Dual  ~700Lb'!$G$42+$N$12-$N$51</f>
        <v>75.721905000000007</v>
      </c>
      <c r="K47" s="133">
        <f>+(K$26*$I47+$N$8-$N$13-$N$17)+'Wheat Dual  ~700Lb'!$G$37+'Wheat Dual  ~700Lb'!$G$42+$N$12-$N$51</f>
        <v>92.346905000000007</v>
      </c>
      <c r="L47" s="137">
        <f>+(L$26*$I47+$N$8-$N$13-$N$17)+'Wheat Dual  ~700Lb'!$G$37+'Wheat Dual  ~700Lb'!$G$42+$N$12-$N$51</f>
        <v>108.97190500000001</v>
      </c>
      <c r="M47" s="134">
        <f>+(M$26*$I47+$N$8-$N$13-$N$17)+'Wheat Dual  ~700Lb'!$G$37+'Wheat Dual  ~700Lb'!$G$42+$N$12-$N$51</f>
        <v>125.59690500000001</v>
      </c>
      <c r="N47" s="69">
        <f>+(N$26*$I47+$N$8-$N$13-$N$17)+'Wheat Dual  ~700Lb'!$G$37+'Wheat Dual  ~700Lb'!$G$42+$N$12-$N$51</f>
        <v>142.22190500000008</v>
      </c>
      <c r="P47" s="81">
        <f>+P38</f>
        <v>35</v>
      </c>
      <c r="Q47" s="67">
        <f>+(Q$26*$P47*$U$6+$U$8-$U$13-$U$17)+'Wheat Dual ~800Lb'!$G$37+'Wheat Dual ~800Lb'!$G$42+$U$12-$U$51*$U$6</f>
        <v>5.474405000000008</v>
      </c>
      <c r="R47" s="133">
        <f>+(R$26*$P47*$U$6+$U$8-$U$13-$U$17)+'Wheat Dual ~800Lb'!$G$37+'Wheat Dual ~800Lb'!$G$42+$U$12-$U$51*$U$6</f>
        <v>15.865030000000008</v>
      </c>
      <c r="S47" s="137">
        <f>+(S$26*$P47*$U$6+$U$8-$U$13-$U$17)+'Wheat Dual ~800Lb'!$G$37+'Wheat Dual ~800Lb'!$G$42+$U$12-$U$51*$U$6</f>
        <v>26.255655000000004</v>
      </c>
      <c r="T47" s="134">
        <f>+(T$26*$P47*$U$6+$U$8-$U$13-$U$17)+'Wheat Dual ~800Lb'!$G$37+'Wheat Dual ~800Lb'!$G$42+$U$12-$U$51*$U$6</f>
        <v>36.646280000000004</v>
      </c>
      <c r="U47" s="69">
        <f>+(U$26*$P47*$U$6+$U$8-$U$13-$U$17)+'Wheat Dual ~800Lb'!$G$37+'Wheat Dual ~800Lb'!$G$42+$U$12-$U$51*$U$6</f>
        <v>47.036905000000004</v>
      </c>
      <c r="W47" s="81">
        <f>+W38</f>
        <v>229.76666666666668</v>
      </c>
      <c r="X47" s="67">
        <f>+(X$26*$W47)-$AB$13-$AB$17+'Wheat Graze Out'!$G$37+'Wheat Graze Out'!$G$42</f>
        <v>-147.71641666666665</v>
      </c>
      <c r="Y47" s="133">
        <f>+(Y$26*$W47)-$AB$13-$AB$17+'Wheat Graze Out'!$G$37+'Wheat Graze Out'!$G$42</f>
        <v>-114.40024999999996</v>
      </c>
      <c r="Z47" s="137">
        <f>+(Z$26*$W47)-$AB$13-$AB$17+'Wheat Graze Out'!$G$37+'Wheat Graze Out'!$G$42</f>
        <v>-99.465416666666627</v>
      </c>
      <c r="AA47" s="134">
        <f>+(AA$26*$W47)-$AB$13-$AB$17+'Wheat Graze Out'!$G$37+'Wheat Graze Out'!$G$42</f>
        <v>-87.977083333333312</v>
      </c>
      <c r="AB47" s="69">
        <f>+(AB$26*$W47)-$AB$13-$AB$17+'Wheat Graze Out'!$G$37+'Wheat Graze Out'!$G$42</f>
        <v>-65.000416666666624</v>
      </c>
      <c r="AD47" s="81">
        <f>+AD38</f>
        <v>211.0497191011236</v>
      </c>
      <c r="AE47" s="67">
        <f t="shared" si="15"/>
        <v>-38.458186822249807</v>
      </c>
      <c r="AF47" s="133">
        <f t="shared" si="15"/>
        <v>-7.8559775525868787</v>
      </c>
      <c r="AG47" s="137">
        <f t="shared" si="15"/>
        <v>-15.242717721126198</v>
      </c>
      <c r="AH47" s="134">
        <f t="shared" si="15"/>
        <v>16.414740144042341</v>
      </c>
      <c r="AI47" s="69">
        <f t="shared" si="15"/>
        <v>37.519712054154709</v>
      </c>
      <c r="AK47" s="81">
        <f>+AK38</f>
        <v>262.77785454088678</v>
      </c>
      <c r="AL47" s="67">
        <f t="shared" ref="AL47:AP47" si="17">+AL38</f>
        <v>-57.604619002009819</v>
      </c>
      <c r="AM47" s="133">
        <f t="shared" si="17"/>
        <v>-41.83794772955661</v>
      </c>
      <c r="AN47" s="137">
        <f t="shared" si="17"/>
        <v>-28.69905500251226</v>
      </c>
      <c r="AO47" s="134">
        <f t="shared" si="17"/>
        <v>10.717623178620729</v>
      </c>
      <c r="AP47" s="69">
        <f t="shared" si="17"/>
        <v>36.995408632709434</v>
      </c>
    </row>
    <row r="48" spans="2:42" x14ac:dyDescent="0.25">
      <c r="B48" s="66">
        <f>+B47*1.1</f>
        <v>44</v>
      </c>
      <c r="C48" s="67">
        <f>+(C$26*$B48-$G$13-$G$17)+'Wheat Grain'!$G$37+'Wheat Grain'!$G$42+$G$12-$G$51</f>
        <v>123.89212500000006</v>
      </c>
      <c r="D48" s="68">
        <f>+(D$26*$B48-$G$13-$G$17)+'Wheat Grain'!$G$37+'Wheat Grain'!$G$42+$G$12-$G$51</f>
        <v>144.79212500000006</v>
      </c>
      <c r="E48" s="136">
        <f>+(E$26*$B48-$G$13-$G$17)+'Wheat Grain'!$G$37+'Wheat Grain'!$G$42+$G$12-$G$51</f>
        <v>165.69212500000003</v>
      </c>
      <c r="F48" s="68">
        <f>+(F$26*$B48-$G$13-$G$17)+'Wheat Grain'!$G$37+'Wheat Grain'!$G$42+$G$12-$G$51</f>
        <v>186.59212500000001</v>
      </c>
      <c r="G48" s="69">
        <f>+(G$26*$B48-$G$13-$G$17)+'Wheat Grain'!$G$37+'Wheat Grain'!$G$42+$G$12-$G$51</f>
        <v>207.4921250000001</v>
      </c>
      <c r="I48" s="66">
        <f>+I47*1.1</f>
        <v>38.5</v>
      </c>
      <c r="J48" s="67">
        <f>+(J$26*$I48+$N$8-$N$13-$N$17)+'Wheat Dual  ~700Lb'!$G$37+'Wheat Dual  ~700Lb'!$G$42+$N$12-$N$51</f>
        <v>105.64690500000002</v>
      </c>
      <c r="K48" s="68">
        <f>+(K$26*$I48+$N$8-$N$13-$N$17)+'Wheat Dual  ~700Lb'!$G$37+'Wheat Dual  ~700Lb'!$G$42+$N$12-$N$51</f>
        <v>123.93440500000004</v>
      </c>
      <c r="L48" s="136">
        <f>+(L$26*$I48+$N$8-$N$13-$N$17)+'Wheat Dual  ~700Lb'!$G$37+'Wheat Dual  ~700Lb'!$G$42+$N$12-$N$51</f>
        <v>142.22190500000002</v>
      </c>
      <c r="M48" s="68">
        <f>+(M$26*$I48+$N$8-$N$13-$N$17)+'Wheat Dual  ~700Lb'!$G$37+'Wheat Dual  ~700Lb'!$G$42+$N$12-$N$51</f>
        <v>160.50940499999999</v>
      </c>
      <c r="N48" s="69">
        <f>+(N$26*$I48+$N$8-$N$13-$N$17)+'Wheat Dual  ~700Lb'!$G$37+'Wheat Dual  ~700Lb'!$G$42+$N$12-$N$51</f>
        <v>178.79690500000007</v>
      </c>
      <c r="P48" s="66">
        <f>+P47*1.1</f>
        <v>38.5</v>
      </c>
      <c r="Q48" s="67">
        <f>+(Q$26*$P48*$U$6+$U$8-$U$13-$U$17)+'Wheat Dual ~800Lb'!$G$37+'Wheat Dual ~800Lb'!$G$42+$U$12-$U$51*$U$6</f>
        <v>24.177530000000004</v>
      </c>
      <c r="R48" s="68">
        <f>+(R$26*$P48*$U$6+$U$8-$U$13-$U$17)+'Wheat Dual ~800Lb'!$G$37+'Wheat Dual ~800Lb'!$G$42+$U$12-$U$51*$U$6</f>
        <v>35.607217500000004</v>
      </c>
      <c r="S48" s="136">
        <f>+(S$26*$P48*$U$6+$U$8-$U$13-$U$17)+'Wheat Dual ~800Lb'!$G$37+'Wheat Dual ~800Lb'!$G$42+$U$12-$U$51*$U$6</f>
        <v>47.036905000000004</v>
      </c>
      <c r="T48" s="68">
        <f>+(T$26*$P48*$U$6+$U$8-$U$13-$U$17)+'Wheat Dual ~800Lb'!$G$37+'Wheat Dual ~800Lb'!$G$42+$U$12-$U$51*$U$6</f>
        <v>58.466592500000004</v>
      </c>
      <c r="U48" s="69">
        <f>+(U$26*$P48*$U$6+$U$8-$U$13-$U$17)+'Wheat Dual ~800Lb'!$G$37+'Wheat Dual ~800Lb'!$G$42+$U$12-$U$51*$U$6</f>
        <v>69.896280000000004</v>
      </c>
      <c r="W48" s="66">
        <f>+W47*1.05</f>
        <v>241.25500000000002</v>
      </c>
      <c r="X48" s="67">
        <f>+(X$26*$W48)-$AB$13-$AB$17+'Wheat Graze Out'!$G$37+'Wheat Graze Out'!$G$42</f>
        <v>-142.66154999999998</v>
      </c>
      <c r="Y48" s="68">
        <f>+(Y$26*$W48)-$AB$13-$AB$17+'Wheat Graze Out'!$G$37+'Wheat Graze Out'!$G$42</f>
        <v>-107.67957499999996</v>
      </c>
      <c r="Z48" s="136">
        <f>+(Z$26*$W48)-$AB$13-$AB$17+'Wheat Graze Out'!$G$37+'Wheat Graze Out'!$G$42</f>
        <v>-91.997999999999976</v>
      </c>
      <c r="AA48" s="68">
        <f>+(AA$26*$W48)-$AB$13-$AB$17+'Wheat Graze Out'!$G$37+'Wheat Graze Out'!$G$42</f>
        <v>-79.935249999999982</v>
      </c>
      <c r="AB48" s="69">
        <f>+(AB$26*$W48)-$AB$13-$AB$17+'Wheat Graze Out'!$G$37+'Wheat Graze Out'!$G$42</f>
        <v>-55.809749999999966</v>
      </c>
      <c r="AD48" s="66">
        <f>+AD47*1.05</f>
        <v>221.6022050561798</v>
      </c>
      <c r="AE48" s="67">
        <f t="shared" si="15"/>
        <v>-33.815093002025073</v>
      </c>
      <c r="AF48" s="68">
        <f t="shared" si="15"/>
        <v>-1.6827732688789894</v>
      </c>
      <c r="AG48" s="136">
        <f t="shared" si="15"/>
        <v>-9.43885044584529</v>
      </c>
      <c r="AH48" s="68">
        <f t="shared" si="15"/>
        <v>23.80148031258166</v>
      </c>
      <c r="AI48" s="69">
        <f t="shared" si="15"/>
        <v>45.961700818199674</v>
      </c>
      <c r="AK48" s="66">
        <f>+AK47*1.05</f>
        <v>275.91674726793116</v>
      </c>
      <c r="AL48" s="67">
        <f t="shared" ref="AL48:AP48" si="18">+AL39</f>
        <v>-51.823506202110288</v>
      </c>
      <c r="AM48" s="68">
        <f t="shared" si="18"/>
        <v>-35.268501366034421</v>
      </c>
      <c r="AN48" s="136">
        <f t="shared" si="18"/>
        <v>-21.472664002637856</v>
      </c>
      <c r="AO48" s="68">
        <f t="shared" si="18"/>
        <v>19.914848087551803</v>
      </c>
      <c r="AP48" s="69">
        <f t="shared" si="18"/>
        <v>47.506522814344926</v>
      </c>
    </row>
    <row r="49" spans="2:42" ht="15.75" thickBot="1" x14ac:dyDescent="0.3">
      <c r="B49" s="70">
        <f>+B47*1.2</f>
        <v>48</v>
      </c>
      <c r="C49" s="71">
        <f>+(C$26*$B49-$G$13-$G$17)+'Wheat Grain'!$G$37+'Wheat Grain'!$G$42+$G$12-$G$51</f>
        <v>158.09212500000007</v>
      </c>
      <c r="D49" s="72">
        <f>+(D$26*$B49-$G$13-$G$17)+'Wheat Grain'!$G$37+'Wheat Grain'!$G$42+$G$12-$G$51</f>
        <v>180.89212500000008</v>
      </c>
      <c r="E49" s="72">
        <f>+(E$26*$B49-$G$13-$G$17)+'Wheat Grain'!$G$37+'Wheat Grain'!$G$42+$G$12-$G$51</f>
        <v>203.69212500000003</v>
      </c>
      <c r="F49" s="72">
        <f>+(F$26*$B49-$G$13-$G$17)+'Wheat Grain'!$G$37+'Wheat Grain'!$G$42+$G$12-$G$51</f>
        <v>226.49212499999999</v>
      </c>
      <c r="G49" s="73">
        <f>+(G$26*$B49-$G$13-$G$17)+'Wheat Grain'!$G$37+'Wheat Grain'!$G$42+$G$12-$G$51</f>
        <v>249.29212500000006</v>
      </c>
      <c r="I49" s="70">
        <f>+I47*1.2</f>
        <v>42</v>
      </c>
      <c r="J49" s="71">
        <f>+(J$26*$I49+$N$8-$N$13-$N$17)+'Wheat Dual  ~700Lb'!$G$37+'Wheat Dual  ~700Lb'!$G$42+$N$12-$N$51</f>
        <v>135.57190500000004</v>
      </c>
      <c r="K49" s="72">
        <f>+(K$26*$I49+$N$8-$N$13-$N$17)+'Wheat Dual  ~700Lb'!$G$37+'Wheat Dual  ~700Lb'!$G$42+$N$12-$N$51</f>
        <v>155.52190500000003</v>
      </c>
      <c r="L49" s="72">
        <f>+(L$26*$I49+$N$8-$N$13-$N$17)+'Wheat Dual  ~700Lb'!$G$37+'Wheat Dual  ~700Lb'!$G$42+$N$12-$N$51</f>
        <v>175.47190500000002</v>
      </c>
      <c r="M49" s="72">
        <f>+(M$26*$I49+$N$8-$N$13-$N$17)+'Wheat Dual  ~700Lb'!$G$37+'Wheat Dual  ~700Lb'!$G$42+$N$12-$N$51</f>
        <v>195.42190499999998</v>
      </c>
      <c r="N49" s="73">
        <f>+(N$26*$I49+$N$8-$N$13-$N$17)+'Wheat Dual  ~700Lb'!$G$37+'Wheat Dual  ~700Lb'!$G$42+$N$12-$N$51</f>
        <v>215.37190500000003</v>
      </c>
      <c r="P49" s="70">
        <f>+P47*1.2</f>
        <v>42</v>
      </c>
      <c r="Q49" s="71">
        <f>+(Q$26*$P49*$U$6+$U$8-$U$13-$U$17)+'Wheat Dual ~800Lb'!$G$37+'Wheat Dual ~800Lb'!$G$42+$U$12-$U$51*$U$6</f>
        <v>42.880655000000004</v>
      </c>
      <c r="R49" s="72">
        <f>+(R$26*$P49*$U$6+$U$8-$U$13-$U$17)+'Wheat Dual ~800Lb'!$G$37+'Wheat Dual ~800Lb'!$G$42+$U$12-$U$51*$U$6</f>
        <v>55.349405000000004</v>
      </c>
      <c r="S49" s="72">
        <f>+(S$26*$P49*$U$6+$U$8-$U$13-$U$17)+'Wheat Dual ~800Lb'!$G$37+'Wheat Dual ~800Lb'!$G$42+$U$12-$U$51*$U$6</f>
        <v>67.818155000000004</v>
      </c>
      <c r="T49" s="72">
        <f>+(T$26*$P49*$U$6+$U$8-$U$13-$U$17)+'Wheat Dual ~800Lb'!$G$37+'Wheat Dual ~800Lb'!$G$42+$U$12-$U$51*$U$6</f>
        <v>80.286905000000004</v>
      </c>
      <c r="U49" s="73">
        <f>+(U$26*$P49*$U$6+$U$8-$U$13-$U$17)+'Wheat Dual ~800Lb'!$G$37+'Wheat Dual ~800Lb'!$G$42+$U$12-$U$51*$U$6</f>
        <v>92.755655000000004</v>
      </c>
      <c r="W49" s="70">
        <f>+W48*1.1</f>
        <v>265.38050000000004</v>
      </c>
      <c r="X49" s="71">
        <f>+(X$26*$W49)-$AB$13-$AB$17+'Wheat Graze Out'!$G$37+'Wheat Graze Out'!$G$42</f>
        <v>-132.04632999999998</v>
      </c>
      <c r="Y49" s="72">
        <f>+(Y$26*$W49)-$AB$13-$AB$17+'Wheat Graze Out'!$G$37+'Wheat Graze Out'!$G$42</f>
        <v>-93.566157499999932</v>
      </c>
      <c r="Z49" s="72">
        <f>+(Z$26*$W49)-$AB$13-$AB$17+'Wheat Graze Out'!$G$37+'Wheat Graze Out'!$G$42</f>
        <v>-76.316424999999938</v>
      </c>
      <c r="AA49" s="72">
        <f>+(AA$26*$W49)-$AB$13-$AB$17+'Wheat Graze Out'!$G$37+'Wheat Graze Out'!$G$42</f>
        <v>-63.047399999999968</v>
      </c>
      <c r="AB49" s="73">
        <f>+(AB$26*$W49)-$AB$13-$AB$17+'Wheat Graze Out'!$G$37+'Wheat Graze Out'!$G$42</f>
        <v>-36.509349999999941</v>
      </c>
      <c r="AD49" s="70">
        <f>+AD48*1.1</f>
        <v>243.76242556179778</v>
      </c>
      <c r="AE49" s="71">
        <f t="shared" si="15"/>
        <v>-24.064595979553168</v>
      </c>
      <c r="AF49" s="72">
        <f t="shared" si="15"/>
        <v>11.28095572690755</v>
      </c>
      <c r="AG49" s="72">
        <f t="shared" si="15"/>
        <v>2.7492708322446191</v>
      </c>
      <c r="AH49" s="72">
        <f t="shared" si="15"/>
        <v>39.313634666514261</v>
      </c>
      <c r="AI49" s="73">
        <f t="shared" si="15"/>
        <v>63.689877222694051</v>
      </c>
      <c r="AK49" s="70">
        <f>+AK48*1.1</f>
        <v>303.5084219947243</v>
      </c>
      <c r="AL49" s="71">
        <f t="shared" ref="AL49:AP49" si="19">+AL40</f>
        <v>-39.683169322321298</v>
      </c>
      <c r="AM49" s="72">
        <f t="shared" si="19"/>
        <v>-21.472664002637856</v>
      </c>
      <c r="AN49" s="72">
        <f t="shared" si="19"/>
        <v>-6.2972429029016137</v>
      </c>
      <c r="AO49" s="72">
        <f t="shared" si="19"/>
        <v>39.229020396307</v>
      </c>
      <c r="AP49" s="73">
        <f t="shared" si="19"/>
        <v>69.579862595779446</v>
      </c>
    </row>
    <row r="50" spans="2:42" ht="15.75" thickTop="1" x14ac:dyDescent="0.25"/>
    <row r="51" spans="2:42" x14ac:dyDescent="0.25">
      <c r="B51" s="1" t="s">
        <v>115</v>
      </c>
      <c r="G51" s="93">
        <v>16.2</v>
      </c>
      <c r="I51" s="1" t="s">
        <v>115</v>
      </c>
      <c r="N51" s="93">
        <v>16.2</v>
      </c>
      <c r="P51" s="1" t="s">
        <v>115</v>
      </c>
      <c r="U51" s="93">
        <v>16.2</v>
      </c>
      <c r="W51" s="1" t="s">
        <v>115</v>
      </c>
      <c r="AB51" s="93">
        <v>16.2</v>
      </c>
      <c r="AD51" s="1" t="s">
        <v>115</v>
      </c>
      <c r="AI51" s="93">
        <v>16.2</v>
      </c>
      <c r="AK51" s="1" t="s">
        <v>115</v>
      </c>
      <c r="AP51" s="93">
        <v>16.2</v>
      </c>
    </row>
  </sheetData>
  <mergeCells count="40">
    <mergeCell ref="AD42:AI42"/>
    <mergeCell ref="AE43:AI43"/>
    <mergeCell ref="AD2:AI2"/>
    <mergeCell ref="AD24:AI24"/>
    <mergeCell ref="AE25:AI25"/>
    <mergeCell ref="AD33:AI33"/>
    <mergeCell ref="AE34:AI34"/>
    <mergeCell ref="B2:G2"/>
    <mergeCell ref="I2:N2"/>
    <mergeCell ref="P2:U2"/>
    <mergeCell ref="W2:AB2"/>
    <mergeCell ref="B24:G24"/>
    <mergeCell ref="I24:N24"/>
    <mergeCell ref="P24:U24"/>
    <mergeCell ref="W24:AB24"/>
    <mergeCell ref="C25:G25"/>
    <mergeCell ref="X25:AB25"/>
    <mergeCell ref="W33:AB33"/>
    <mergeCell ref="X34:AB34"/>
    <mergeCell ref="B42:G42"/>
    <mergeCell ref="W42:AB42"/>
    <mergeCell ref="B33:G33"/>
    <mergeCell ref="C34:G34"/>
    <mergeCell ref="I33:N33"/>
    <mergeCell ref="J34:N34"/>
    <mergeCell ref="P33:U33"/>
    <mergeCell ref="Q34:U34"/>
    <mergeCell ref="X43:AB43"/>
    <mergeCell ref="C43:G43"/>
    <mergeCell ref="I42:N42"/>
    <mergeCell ref="J43:N43"/>
    <mergeCell ref="P42:U42"/>
    <mergeCell ref="Q43:U43"/>
    <mergeCell ref="AK42:AP42"/>
    <mergeCell ref="AL43:AP43"/>
    <mergeCell ref="AK2:AP2"/>
    <mergeCell ref="AK24:AP24"/>
    <mergeCell ref="AL25:AP25"/>
    <mergeCell ref="AK33:AP33"/>
    <mergeCell ref="AL34:AP34"/>
  </mergeCells>
  <conditionalFormatting sqref="C27:G31">
    <cfRule type="colorScale" priority="104">
      <colorScale>
        <cfvo type="min"/>
        <cfvo type="max"/>
        <color theme="0" tint="-4.9989318521683403E-2"/>
        <color theme="0" tint="-0.34998626667073579"/>
      </colorScale>
    </cfRule>
    <cfRule type="colorScale" priority="105">
      <colorScale>
        <cfvo type="min"/>
        <cfvo type="max"/>
        <color rgb="FFFCFCFF"/>
        <color rgb="FF63BE7B"/>
      </colorScale>
    </cfRule>
  </conditionalFormatting>
  <conditionalFormatting sqref="Q27:U31">
    <cfRule type="colorScale" priority="100">
      <colorScale>
        <cfvo type="min"/>
        <cfvo type="max"/>
        <color theme="0" tint="-4.9989318521683403E-2"/>
        <color theme="0" tint="-0.34998626667073579"/>
      </colorScale>
    </cfRule>
    <cfRule type="colorScale" priority="101">
      <colorScale>
        <cfvo type="min"/>
        <cfvo type="max"/>
        <color rgb="FFFCFCFF"/>
        <color rgb="FF63BE7B"/>
      </colorScale>
    </cfRule>
  </conditionalFormatting>
  <conditionalFormatting sqref="X27:AB31">
    <cfRule type="colorScale" priority="98">
      <colorScale>
        <cfvo type="min"/>
        <cfvo type="max"/>
        <color theme="0" tint="-4.9989318521683403E-2"/>
        <color theme="0" tint="-0.34998626667073579"/>
      </colorScale>
    </cfRule>
    <cfRule type="colorScale" priority="99">
      <colorScale>
        <cfvo type="min"/>
        <cfvo type="max"/>
        <color rgb="FFFCFCFF"/>
        <color rgb="FF63BE7B"/>
      </colorScale>
    </cfRule>
  </conditionalFormatting>
  <conditionalFormatting sqref="C36:G41">
    <cfRule type="colorScale" priority="106">
      <colorScale>
        <cfvo type="min"/>
        <cfvo type="max"/>
        <color theme="0" tint="-4.9989318521683403E-2"/>
        <color theme="0" tint="-0.34998626667073579"/>
      </colorScale>
    </cfRule>
    <cfRule type="colorScale" priority="107">
      <colorScale>
        <cfvo type="min"/>
        <cfvo type="max"/>
        <color rgb="FFFCFCFF"/>
        <color rgb="FF63BE7B"/>
      </colorScale>
    </cfRule>
  </conditionalFormatting>
  <conditionalFormatting sqref="Q36:U41">
    <cfRule type="colorScale" priority="108">
      <colorScale>
        <cfvo type="min"/>
        <cfvo type="max"/>
        <color theme="0" tint="-4.9989318521683403E-2"/>
        <color theme="0" tint="-0.34998626667073579"/>
      </colorScale>
    </cfRule>
    <cfRule type="colorScale" priority="109">
      <colorScale>
        <cfvo type="min"/>
        <cfvo type="max"/>
        <color rgb="FFFCFCFF"/>
        <color rgb="FF63BE7B"/>
      </colorScale>
    </cfRule>
  </conditionalFormatting>
  <conditionalFormatting sqref="X36:AB41">
    <cfRule type="colorScale" priority="112">
      <colorScale>
        <cfvo type="min"/>
        <cfvo type="max"/>
        <color theme="0" tint="-4.9989318521683403E-2"/>
        <color theme="0" tint="-0.34998626667073579"/>
      </colorScale>
    </cfRule>
    <cfRule type="colorScale" priority="113">
      <colorScale>
        <cfvo type="min"/>
        <cfvo type="max"/>
        <color rgb="FFFCFCFF"/>
        <color rgb="FF63BE7B"/>
      </colorScale>
    </cfRule>
  </conditionalFormatting>
  <conditionalFormatting sqref="C45:G49">
    <cfRule type="colorScale" priority="72">
      <colorScale>
        <cfvo type="min"/>
        <cfvo type="max"/>
        <color theme="0" tint="-4.9989318521683403E-2"/>
        <color theme="0" tint="-0.34998626667073579"/>
      </colorScale>
    </cfRule>
    <cfRule type="colorScale" priority="73">
      <colorScale>
        <cfvo type="min"/>
        <cfvo type="max"/>
        <color rgb="FFFCFCFF"/>
        <color rgb="FF63BE7B"/>
      </colorScale>
    </cfRule>
  </conditionalFormatting>
  <conditionalFormatting sqref="Q45:U49">
    <cfRule type="colorScale" priority="60">
      <colorScale>
        <cfvo type="min"/>
        <cfvo type="max"/>
        <color theme="0" tint="-4.9989318521683403E-2"/>
        <color theme="0" tint="-0.34998626667073579"/>
      </colorScale>
    </cfRule>
    <cfRule type="colorScale" priority="61">
      <colorScale>
        <cfvo type="min"/>
        <cfvo type="max"/>
        <color rgb="FFFCFCFF"/>
        <color rgb="FF63BE7B"/>
      </colorScale>
    </cfRule>
  </conditionalFormatting>
  <conditionalFormatting sqref="X45:AB49">
    <cfRule type="colorScale" priority="58">
      <colorScale>
        <cfvo type="min"/>
        <cfvo type="max"/>
        <color theme="0" tint="-4.9989318521683403E-2"/>
        <color theme="0" tint="-0.34998626667073579"/>
      </colorScale>
    </cfRule>
    <cfRule type="colorScale" priority="59">
      <colorScale>
        <cfvo type="min"/>
        <cfvo type="max"/>
        <color rgb="FFFCFCFF"/>
        <color rgb="FF63BE7B"/>
      </colorScale>
    </cfRule>
  </conditionalFormatting>
  <conditionalFormatting sqref="J27:N31">
    <cfRule type="colorScale" priority="52">
      <colorScale>
        <cfvo type="min"/>
        <cfvo type="max"/>
        <color theme="0" tint="-4.9989318521683403E-2"/>
        <color theme="0" tint="-0.34998626667073579"/>
      </colorScale>
    </cfRule>
    <cfRule type="colorScale" priority="53">
      <colorScale>
        <cfvo type="min"/>
        <cfvo type="max"/>
        <color rgb="FFFCFCFF"/>
        <color rgb="FF63BE7B"/>
      </colorScale>
    </cfRule>
  </conditionalFormatting>
  <conditionalFormatting sqref="J36:N41">
    <cfRule type="colorScale" priority="54">
      <colorScale>
        <cfvo type="min"/>
        <cfvo type="max"/>
        <color theme="0" tint="-4.9989318521683403E-2"/>
        <color theme="0" tint="-0.34998626667073579"/>
      </colorScale>
    </cfRule>
    <cfRule type="colorScale" priority="55">
      <colorScale>
        <cfvo type="min"/>
        <cfvo type="max"/>
        <color rgb="FFFCFCFF"/>
        <color rgb="FF63BE7B"/>
      </colorScale>
    </cfRule>
  </conditionalFormatting>
  <conditionalFormatting sqref="J45:N49">
    <cfRule type="colorScale" priority="50">
      <colorScale>
        <cfvo type="min"/>
        <cfvo type="max"/>
        <color theme="0" tint="-4.9989318521683403E-2"/>
        <color theme="0" tint="-0.34998626667073579"/>
      </colorScale>
    </cfRule>
    <cfRule type="colorScale" priority="51">
      <colorScale>
        <cfvo type="min"/>
        <cfvo type="max"/>
        <color rgb="FFFCFCFF"/>
        <color rgb="FF63BE7B"/>
      </colorScale>
    </cfRule>
  </conditionalFormatting>
  <conditionalFormatting sqref="AE41:AI41">
    <cfRule type="colorScale" priority="42">
      <colorScale>
        <cfvo type="min"/>
        <cfvo type="max"/>
        <color theme="0" tint="-4.9989318521683403E-2"/>
        <color theme="0" tint="-0.34998626667073579"/>
      </colorScale>
    </cfRule>
    <cfRule type="colorScale" priority="43">
      <colorScale>
        <cfvo type="min"/>
        <cfvo type="max"/>
        <color rgb="FFFCFCFF"/>
        <color rgb="FF63BE7B"/>
      </colorScale>
    </cfRule>
  </conditionalFormatting>
  <conditionalFormatting sqref="AE27:AI31">
    <cfRule type="colorScale" priority="32">
      <colorScale>
        <cfvo type="min"/>
        <cfvo type="max"/>
        <color theme="0" tint="-4.9989318521683403E-2"/>
        <color theme="0" tint="-0.34998626667073579"/>
      </colorScale>
    </cfRule>
    <cfRule type="colorScale" priority="33">
      <colorScale>
        <cfvo type="min"/>
        <cfvo type="max"/>
        <color rgb="FFFCFCFF"/>
        <color rgb="FF63BE7B"/>
      </colorScale>
    </cfRule>
  </conditionalFormatting>
  <conditionalFormatting sqref="AE36:AI40">
    <cfRule type="colorScale" priority="30">
      <colorScale>
        <cfvo type="min"/>
        <cfvo type="max"/>
        <color theme="0" tint="-4.9989318521683403E-2"/>
        <color theme="0" tint="-0.34998626667073579"/>
      </colorScale>
    </cfRule>
    <cfRule type="colorScale" priority="31">
      <colorScale>
        <cfvo type="min"/>
        <cfvo type="max"/>
        <color rgb="FFFCFCFF"/>
        <color rgb="FF63BE7B"/>
      </colorScale>
    </cfRule>
  </conditionalFormatting>
  <conditionalFormatting sqref="AE45:AI49">
    <cfRule type="colorScale" priority="28">
      <colorScale>
        <cfvo type="min"/>
        <cfvo type="max"/>
        <color theme="0" tint="-4.9989318521683403E-2"/>
        <color theme="0" tint="-0.34998626667073579"/>
      </colorScale>
    </cfRule>
    <cfRule type="colorScale" priority="29">
      <colorScale>
        <cfvo type="min"/>
        <cfvo type="max"/>
        <color rgb="FFFCFCFF"/>
        <color rgb="FF63BE7B"/>
      </colorScale>
    </cfRule>
  </conditionalFormatting>
  <conditionalFormatting sqref="C27:G31 J27:N31 Q27:U31 X27:AB31 AE27:AI31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6:G40 J36:N40 Q36:U40 X36:AB40 AE36:AI40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5:G49 J45:N49 Q45:U49 X45:AB49 AE45:AI49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L41:AP41">
    <cfRule type="colorScale" priority="23">
      <colorScale>
        <cfvo type="min"/>
        <cfvo type="max"/>
        <color theme="0" tint="-4.9989318521683403E-2"/>
        <color theme="0" tint="-0.34998626667073579"/>
      </colorScale>
    </cfRule>
    <cfRule type="colorScale" priority="24">
      <colorScale>
        <cfvo type="min"/>
        <cfvo type="max"/>
        <color rgb="FFFCFCFF"/>
        <color rgb="FF63BE7B"/>
      </colorScale>
    </cfRule>
  </conditionalFormatting>
  <conditionalFormatting sqref="AL45:AP49">
    <cfRule type="colorScale" priority="17">
      <colorScale>
        <cfvo type="min"/>
        <cfvo type="max"/>
        <color theme="0" tint="-4.9989318521683403E-2"/>
        <color theme="0" tint="-0.34998626667073579"/>
      </colorScale>
    </cfRule>
    <cfRule type="colorScale" priority="18">
      <colorScale>
        <cfvo type="min"/>
        <cfvo type="max"/>
        <color rgb="FFFCFCFF"/>
        <color rgb="FF63BE7B"/>
      </colorScale>
    </cfRule>
  </conditionalFormatting>
  <conditionalFormatting sqref="AL45:AP49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L27:AP31">
    <cfRule type="colorScale" priority="12">
      <colorScale>
        <cfvo type="min"/>
        <cfvo type="max"/>
        <color theme="0" tint="-4.9989318521683403E-2"/>
        <color theme="0" tint="-0.34998626667073579"/>
      </colorScale>
    </cfRule>
    <cfRule type="colorScale" priority="13">
      <colorScale>
        <cfvo type="min"/>
        <cfvo type="max"/>
        <color rgb="FFFCFCFF"/>
        <color rgb="FF63BE7B"/>
      </colorScale>
    </cfRule>
  </conditionalFormatting>
  <conditionalFormatting sqref="AL27:AP31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L36:AP40">
    <cfRule type="colorScale" priority="9">
      <colorScale>
        <cfvo type="min"/>
        <cfvo type="max"/>
        <color theme="0" tint="-4.9989318521683403E-2"/>
        <color theme="0" tint="-0.34998626667073579"/>
      </colorScale>
    </cfRule>
    <cfRule type="colorScale" priority="10">
      <colorScale>
        <cfvo type="min"/>
        <cfvo type="max"/>
        <color rgb="FFFCFCFF"/>
        <color rgb="FF63BE7B"/>
      </colorScale>
    </cfRule>
  </conditionalFormatting>
  <conditionalFormatting sqref="AL36:AP40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7:G31 J27:N31 Q27:U31 X27:AB31 AE27:AI31 AL27:AP31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6:G40 J36:N40 Q36:U40 X36:AB40 AE36:AI40 AL36:AP4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5:G49 J45:N49 Q45:U49 X45:AB49 AE45:AI49 AL45:AP4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L36:AP40">
    <cfRule type="colorScale" priority="3">
      <colorScale>
        <cfvo type="min"/>
        <cfvo type="max"/>
        <color theme="0" tint="-4.9989318521683403E-2"/>
        <color theme="0" tint="-0.34998626667073579"/>
      </colorScale>
    </cfRule>
    <cfRule type="colorScale" priority="4">
      <colorScale>
        <cfvo type="min"/>
        <cfvo type="max"/>
        <color rgb="FFFCFCFF"/>
        <color rgb="FF63BE7B"/>
      </colorScale>
    </cfRule>
  </conditionalFormatting>
  <conditionalFormatting sqref="AL36:AP4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D36FD-C453-4C1C-8BDE-D9DB2AB52B99}">
  <dimension ref="A1:F55"/>
  <sheetViews>
    <sheetView topLeftCell="D4" zoomScale="120" zoomScaleNormal="120" workbookViewId="0">
      <selection activeCell="G11" sqref="G11"/>
    </sheetView>
  </sheetViews>
  <sheetFormatPr defaultColWidth="8.85546875" defaultRowHeight="15" x14ac:dyDescent="0.25"/>
  <cols>
    <col min="1" max="1" width="5.140625" style="1" hidden="1" customWidth="1"/>
    <col min="2" max="2" width="38.140625" style="1" hidden="1" customWidth="1"/>
    <col min="3" max="3" width="9.5703125" style="1" hidden="1" customWidth="1"/>
    <col min="4" max="4" width="8.85546875" style="1"/>
    <col min="5" max="5" width="39.85546875" style="1" bestFit="1" customWidth="1"/>
    <col min="6" max="16384" width="8.85546875" style="1"/>
  </cols>
  <sheetData>
    <row r="1" spans="2:6" hidden="1" x14ac:dyDescent="0.25"/>
    <row r="2" spans="2:6" hidden="1" x14ac:dyDescent="0.25"/>
    <row r="3" spans="2:6" hidden="1" x14ac:dyDescent="0.25"/>
    <row r="4" spans="2:6" ht="15.75" thickBot="1" x14ac:dyDescent="0.3"/>
    <row r="5" spans="2:6" x14ac:dyDescent="0.25">
      <c r="B5" s="3" t="s">
        <v>96</v>
      </c>
      <c r="C5" s="10" t="s">
        <v>88</v>
      </c>
      <c r="E5" s="350" t="s">
        <v>169</v>
      </c>
      <c r="F5" s="351"/>
    </row>
    <row r="6" spans="2:6" ht="6" customHeight="1" thickBot="1" x14ac:dyDescent="0.3">
      <c r="B6" s="20" t="s">
        <v>93</v>
      </c>
      <c r="E6" s="41"/>
      <c r="F6" s="13"/>
    </row>
    <row r="7" spans="2:6" x14ac:dyDescent="0.25">
      <c r="B7" s="20" t="s">
        <v>94</v>
      </c>
      <c r="E7" s="233" t="s">
        <v>96</v>
      </c>
      <c r="F7" s="234" t="s">
        <v>88</v>
      </c>
    </row>
    <row r="8" spans="2:6" x14ac:dyDescent="0.25">
      <c r="B8" s="20" t="s">
        <v>95</v>
      </c>
      <c r="E8" s="194" t="s">
        <v>93</v>
      </c>
      <c r="F8" s="267">
        <v>40</v>
      </c>
    </row>
    <row r="9" spans="2:6" x14ac:dyDescent="0.25">
      <c r="E9" s="194" t="s">
        <v>94</v>
      </c>
      <c r="F9" s="267">
        <v>35</v>
      </c>
    </row>
    <row r="10" spans="2:6" ht="15.75" thickBot="1" x14ac:dyDescent="0.3">
      <c r="B10" s="20"/>
      <c r="C10" s="21"/>
      <c r="E10" s="196" t="s">
        <v>95</v>
      </c>
      <c r="F10" s="268">
        <v>35</v>
      </c>
    </row>
    <row r="11" spans="2:6" x14ac:dyDescent="0.25">
      <c r="B11" s="16"/>
      <c r="C11" s="242"/>
      <c r="E11" s="243" t="s">
        <v>92</v>
      </c>
      <c r="F11" s="244">
        <v>0</v>
      </c>
    </row>
    <row r="12" spans="2:6" ht="7.5" customHeight="1" thickBot="1" x14ac:dyDescent="0.3">
      <c r="E12" s="12"/>
      <c r="F12" s="13"/>
    </row>
    <row r="13" spans="2:6" x14ac:dyDescent="0.25">
      <c r="E13" s="233" t="s">
        <v>110</v>
      </c>
      <c r="F13" s="234"/>
    </row>
    <row r="14" spans="2:6" x14ac:dyDescent="0.25">
      <c r="E14" s="194" t="s">
        <v>75</v>
      </c>
      <c r="F14" s="269">
        <v>9.5</v>
      </c>
    </row>
    <row r="15" spans="2:6" ht="15.75" thickBot="1" x14ac:dyDescent="0.3">
      <c r="E15" s="196" t="s">
        <v>76</v>
      </c>
      <c r="F15" s="270">
        <v>0.65</v>
      </c>
    </row>
    <row r="16" spans="2:6" ht="5.25" customHeight="1" thickBot="1" x14ac:dyDescent="0.3">
      <c r="E16" s="12"/>
      <c r="F16" s="13"/>
    </row>
    <row r="17" spans="2:6" hidden="1" x14ac:dyDescent="0.25">
      <c r="B17" s="47" t="s">
        <v>101</v>
      </c>
      <c r="C17" s="47"/>
      <c r="E17" s="12"/>
      <c r="F17" s="13"/>
    </row>
    <row r="18" spans="2:6" ht="15.75" hidden="1" thickBot="1" x14ac:dyDescent="0.3">
      <c r="B18" s="16" t="s">
        <v>59</v>
      </c>
      <c r="E18" s="12"/>
      <c r="F18" s="13"/>
    </row>
    <row r="19" spans="2:6" x14ac:dyDescent="0.25">
      <c r="B19" s="16" t="s">
        <v>97</v>
      </c>
      <c r="E19" s="350" t="s">
        <v>159</v>
      </c>
      <c r="F19" s="351"/>
    </row>
    <row r="20" spans="2:6" x14ac:dyDescent="0.25">
      <c r="B20" s="16" t="s">
        <v>98</v>
      </c>
      <c r="E20" s="194" t="s">
        <v>59</v>
      </c>
      <c r="F20" s="271">
        <v>44525</v>
      </c>
    </row>
    <row r="21" spans="2:6" x14ac:dyDescent="0.25">
      <c r="B21" s="16"/>
      <c r="C21" s="48"/>
      <c r="E21" s="194" t="s">
        <v>97</v>
      </c>
      <c r="F21" s="272">
        <v>2</v>
      </c>
    </row>
    <row r="22" spans="2:6" ht="15.75" thickBot="1" x14ac:dyDescent="0.3">
      <c r="B22" s="47" t="s">
        <v>102</v>
      </c>
      <c r="E22" s="196" t="s">
        <v>98</v>
      </c>
      <c r="F22" s="273">
        <v>1.5</v>
      </c>
    </row>
    <row r="23" spans="2:6" ht="2.25" customHeight="1" thickBot="1" x14ac:dyDescent="0.3">
      <c r="B23" s="16" t="s">
        <v>68</v>
      </c>
      <c r="E23" s="12"/>
      <c r="F23" s="13"/>
    </row>
    <row r="24" spans="2:6" x14ac:dyDescent="0.25">
      <c r="B24" s="16" t="s">
        <v>99</v>
      </c>
      <c r="E24" s="350" t="s">
        <v>198</v>
      </c>
      <c r="F24" s="351"/>
    </row>
    <row r="25" spans="2:6" x14ac:dyDescent="0.25">
      <c r="B25" s="16" t="s">
        <v>100</v>
      </c>
      <c r="E25" s="194" t="s">
        <v>68</v>
      </c>
      <c r="F25" s="271">
        <v>44635</v>
      </c>
    </row>
    <row r="26" spans="2:6" x14ac:dyDescent="0.25">
      <c r="B26" s="16" t="s">
        <v>89</v>
      </c>
      <c r="E26" s="194" t="s">
        <v>99</v>
      </c>
      <c r="F26" s="272">
        <v>0.75</v>
      </c>
    </row>
    <row r="27" spans="2:6" x14ac:dyDescent="0.25">
      <c r="E27" s="194" t="s">
        <v>100</v>
      </c>
      <c r="F27" s="272">
        <v>2.35</v>
      </c>
    </row>
    <row r="28" spans="2:6" ht="15.75" thickBot="1" x14ac:dyDescent="0.3">
      <c r="E28" s="196" t="s">
        <v>89</v>
      </c>
      <c r="F28" s="274">
        <v>44682</v>
      </c>
    </row>
    <row r="29" spans="2:6" ht="3.75" customHeight="1" thickBot="1" x14ac:dyDescent="0.3">
      <c r="E29" s="87"/>
      <c r="F29" s="218"/>
    </row>
    <row r="30" spans="2:6" x14ac:dyDescent="0.25">
      <c r="E30" s="350" t="s">
        <v>158</v>
      </c>
      <c r="F30" s="351"/>
    </row>
    <row r="31" spans="2:6" x14ac:dyDescent="0.25">
      <c r="E31" s="194" t="s">
        <v>90</v>
      </c>
      <c r="F31" s="195">
        <f>'Wheat - ROI - POG Pricing'!N4</f>
        <v>82.5</v>
      </c>
    </row>
    <row r="32" spans="2:6" x14ac:dyDescent="0.25">
      <c r="E32" s="194" t="s">
        <v>91</v>
      </c>
      <c r="F32" s="195">
        <f>'Wheat - ROI - POG Pricing'!U4</f>
        <v>137.72500000000002</v>
      </c>
    </row>
    <row r="33" spans="2:6" ht="15.75" thickBot="1" x14ac:dyDescent="0.3">
      <c r="E33" s="196" t="s">
        <v>157</v>
      </c>
      <c r="F33" s="197">
        <f>'Wheat - ROI - POG Pricing'!AB4</f>
        <v>229.76666666666668</v>
      </c>
    </row>
    <row r="35" spans="2:6" x14ac:dyDescent="0.25">
      <c r="E35" s="47" t="s">
        <v>87</v>
      </c>
      <c r="F35" s="275">
        <v>7.4999999999999997E-2</v>
      </c>
    </row>
    <row r="36" spans="2:6" hidden="1" x14ac:dyDescent="0.25"/>
    <row r="37" spans="2:6" ht="4.5" hidden="1" customHeight="1" x14ac:dyDescent="0.25"/>
    <row r="38" spans="2:6" x14ac:dyDescent="0.25">
      <c r="E38" s="47" t="s">
        <v>180</v>
      </c>
      <c r="F38" s="276">
        <v>44.1</v>
      </c>
    </row>
    <row r="39" spans="2:6" ht="6" hidden="1" x14ac:dyDescent="0.25"/>
    <row r="40" spans="2:6" x14ac:dyDescent="0.25">
      <c r="E40" s="1" t="s">
        <v>181</v>
      </c>
      <c r="F40" s="277">
        <v>0.76</v>
      </c>
    </row>
    <row r="41" spans="2:6" x14ac:dyDescent="0.25">
      <c r="E41" s="1" t="s">
        <v>182</v>
      </c>
      <c r="F41" s="52">
        <v>0.62</v>
      </c>
    </row>
    <row r="42" spans="2:6" x14ac:dyDescent="0.25">
      <c r="E42" s="1" t="s">
        <v>183</v>
      </c>
      <c r="F42" s="52">
        <v>0.74</v>
      </c>
    </row>
    <row r="43" spans="2:6" x14ac:dyDescent="0.25">
      <c r="E43" s="1" t="s">
        <v>184</v>
      </c>
      <c r="F43" s="52">
        <v>0.87</v>
      </c>
    </row>
    <row r="44" spans="2:6" x14ac:dyDescent="0.25">
      <c r="E44" s="1" t="s">
        <v>185</v>
      </c>
      <c r="F44" s="52">
        <v>0.98</v>
      </c>
    </row>
    <row r="45" spans="2:6" s="16" customFormat="1" x14ac:dyDescent="0.25">
      <c r="B45" s="1"/>
      <c r="C45" s="1"/>
    </row>
    <row r="55" spans="3:3" x14ac:dyDescent="0.25">
      <c r="C55" s="16"/>
    </row>
  </sheetData>
  <sheetProtection sheet="1" objects="1" scenarios="1"/>
  <mergeCells count="4">
    <mergeCell ref="E30:F30"/>
    <mergeCell ref="E19:F19"/>
    <mergeCell ref="E24:F24"/>
    <mergeCell ref="E5:F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89350-20B6-4A58-9C43-AEDB47A95010}">
  <dimension ref="B1:AW51"/>
  <sheetViews>
    <sheetView workbookViewId="0">
      <selection activeCell="I50" sqref="I50"/>
    </sheetView>
  </sheetViews>
  <sheetFormatPr defaultColWidth="8.85546875" defaultRowHeight="15" x14ac:dyDescent="0.25"/>
  <cols>
    <col min="1" max="6" width="6.28515625" style="1" customWidth="1"/>
    <col min="7" max="7" width="7.42578125" style="1" customWidth="1"/>
    <col min="8" max="8" width="3.140625" style="1" customWidth="1"/>
    <col min="9" max="13" width="6.28515625" style="1" customWidth="1"/>
    <col min="14" max="14" width="9.5703125" style="1" customWidth="1"/>
    <col min="15" max="15" width="2.42578125" style="1" customWidth="1"/>
    <col min="16" max="21" width="6.28515625" style="1" customWidth="1"/>
    <col min="22" max="22" width="2.28515625" style="1" customWidth="1"/>
    <col min="23" max="27" width="6.28515625" style="1" customWidth="1"/>
    <col min="28" max="28" width="8.85546875" style="1" customWidth="1"/>
    <col min="29" max="29" width="3.140625" style="1" customWidth="1"/>
    <col min="30" max="35" width="6.28515625" style="1" customWidth="1"/>
    <col min="36" max="36" width="3.140625" style="1" customWidth="1"/>
    <col min="37" max="42" width="6.28515625" style="1" customWidth="1"/>
    <col min="43" max="43" width="3.7109375" style="1" customWidth="1"/>
    <col min="44" max="49" width="6.28515625" style="1" customWidth="1"/>
    <col min="50" max="16384" width="8.85546875" style="1"/>
  </cols>
  <sheetData>
    <row r="1" spans="2:49" ht="15.75" thickBot="1" x14ac:dyDescent="0.3"/>
    <row r="2" spans="2:49" x14ac:dyDescent="0.25">
      <c r="B2" s="358" t="s">
        <v>57</v>
      </c>
      <c r="C2" s="359"/>
      <c r="D2" s="359"/>
      <c r="E2" s="359"/>
      <c r="F2" s="359"/>
      <c r="G2" s="360"/>
      <c r="H2" s="3"/>
      <c r="I2" s="358" t="s">
        <v>90</v>
      </c>
      <c r="J2" s="359"/>
      <c r="K2" s="359"/>
      <c r="L2" s="359"/>
      <c r="M2" s="359"/>
      <c r="N2" s="360"/>
      <c r="O2" s="10"/>
      <c r="P2" s="358" t="s">
        <v>91</v>
      </c>
      <c r="Q2" s="359"/>
      <c r="R2" s="359"/>
      <c r="S2" s="359"/>
      <c r="T2" s="359"/>
      <c r="U2" s="360"/>
      <c r="W2" s="358" t="s">
        <v>92</v>
      </c>
      <c r="X2" s="359"/>
      <c r="Y2" s="359"/>
      <c r="Z2" s="359"/>
      <c r="AA2" s="359"/>
      <c r="AB2" s="360"/>
      <c r="AD2" s="358" t="s">
        <v>172</v>
      </c>
      <c r="AE2" s="359"/>
      <c r="AF2" s="359"/>
      <c r="AG2" s="359"/>
      <c r="AH2" s="359"/>
      <c r="AI2" s="360"/>
      <c r="AK2" s="358" t="s">
        <v>124</v>
      </c>
      <c r="AL2" s="359"/>
      <c r="AM2" s="359"/>
      <c r="AN2" s="359"/>
      <c r="AO2" s="359"/>
      <c r="AP2" s="360"/>
      <c r="AR2" s="358" t="s">
        <v>137</v>
      </c>
      <c r="AS2" s="359"/>
      <c r="AT2" s="359"/>
      <c r="AU2" s="359"/>
      <c r="AV2" s="359"/>
      <c r="AW2" s="360"/>
    </row>
    <row r="3" spans="2:49" x14ac:dyDescent="0.25">
      <c r="B3" s="12" t="s">
        <v>84</v>
      </c>
      <c r="C3" s="16"/>
      <c r="D3" s="16"/>
      <c r="E3" s="16"/>
      <c r="F3" s="16"/>
      <c r="G3" s="45">
        <f>+'Wheat Grain'!D3</f>
        <v>40</v>
      </c>
      <c r="I3" s="12" t="s">
        <v>84</v>
      </c>
      <c r="J3" s="16"/>
      <c r="K3" s="16"/>
      <c r="L3" s="16"/>
      <c r="M3" s="16"/>
      <c r="N3" s="45">
        <f>+'Wheat Dual  ~700Lb'!D3</f>
        <v>35</v>
      </c>
      <c r="O3" s="2"/>
      <c r="P3" s="12" t="s">
        <v>84</v>
      </c>
      <c r="Q3" s="16"/>
      <c r="R3" s="16"/>
      <c r="S3" s="16"/>
      <c r="T3" s="16"/>
      <c r="U3" s="45">
        <f>+'Wheat Dual ~800Lb'!D3</f>
        <v>35</v>
      </c>
      <c r="W3" s="83" t="s">
        <v>84</v>
      </c>
      <c r="X3" s="84"/>
      <c r="Y3" s="84"/>
      <c r="Z3" s="84"/>
      <c r="AA3" s="84"/>
      <c r="AB3" s="45">
        <f>+Assumptions!F11</f>
        <v>0</v>
      </c>
      <c r="AD3" s="12" t="s">
        <v>173</v>
      </c>
      <c r="AE3" s="16"/>
      <c r="AF3" s="16"/>
      <c r="AG3" s="16"/>
      <c r="AH3" s="16"/>
      <c r="AI3" s="245">
        <f>+G3*60/0.4/2200*Assumptions!F40</f>
        <v>2.0727272727272728</v>
      </c>
      <c r="AK3" s="83"/>
      <c r="AL3" s="84"/>
      <c r="AM3" s="84"/>
      <c r="AN3" s="84"/>
      <c r="AO3" s="84"/>
      <c r="AP3" s="45"/>
      <c r="AR3" s="83"/>
      <c r="AS3" s="84"/>
      <c r="AT3" s="84"/>
      <c r="AU3" s="84"/>
      <c r="AV3" s="84"/>
      <c r="AW3" s="45"/>
    </row>
    <row r="4" spans="2:49" x14ac:dyDescent="0.25">
      <c r="B4" s="12" t="s">
        <v>85</v>
      </c>
      <c r="C4" s="16"/>
      <c r="D4" s="16"/>
      <c r="E4" s="16"/>
      <c r="F4" s="16"/>
      <c r="G4" s="45">
        <v>0</v>
      </c>
      <c r="I4" s="12" t="s">
        <v>85</v>
      </c>
      <c r="J4" s="16"/>
      <c r="K4" s="16"/>
      <c r="L4" s="16"/>
      <c r="M4" s="16"/>
      <c r="N4" s="45">
        <f>+'Wheat Dual  ~700Lb'!M4</f>
        <v>82.5</v>
      </c>
      <c r="O4" s="2"/>
      <c r="P4" s="12" t="s">
        <v>85</v>
      </c>
      <c r="Q4" s="16"/>
      <c r="R4" s="16"/>
      <c r="S4" s="16"/>
      <c r="T4" s="16"/>
      <c r="U4" s="45">
        <f>+'Wheat Dual ~800Lb'!D4+'Wheat Dual ~800Lb'!D5</f>
        <v>137.72500000000002</v>
      </c>
      <c r="W4" s="83" t="s">
        <v>85</v>
      </c>
      <c r="X4" s="84"/>
      <c r="Y4" s="84"/>
      <c r="Z4" s="84"/>
      <c r="AA4" s="84"/>
      <c r="AB4" s="45">
        <f>+'Wheat Graze Out'!M4+'Wheat Graze Out'!M5</f>
        <v>229.76666666666668</v>
      </c>
      <c r="AD4" s="12"/>
      <c r="AE4" s="16"/>
      <c r="AF4" s="16"/>
      <c r="AG4" s="16"/>
      <c r="AH4" s="16"/>
      <c r="AI4" s="45"/>
      <c r="AK4" s="83" t="s">
        <v>85</v>
      </c>
      <c r="AL4" s="84"/>
      <c r="AM4" s="84"/>
      <c r="AN4" s="84"/>
      <c r="AO4" s="84"/>
      <c r="AP4" s="45">
        <f>+'Fescue Established'!K4</f>
        <v>211.0497191011236</v>
      </c>
      <c r="AR4" s="83" t="s">
        <v>85</v>
      </c>
      <c r="AS4" s="84"/>
      <c r="AT4" s="84"/>
      <c r="AU4" s="84"/>
      <c r="AV4" s="84"/>
      <c r="AW4" s="45">
        <f>+Triticale!M5+Triticale!M4</f>
        <v>262.77785454088678</v>
      </c>
    </row>
    <row r="5" spans="2:49" x14ac:dyDescent="0.25">
      <c r="B5" s="12" t="s">
        <v>60</v>
      </c>
      <c r="C5" s="16"/>
      <c r="D5" s="16"/>
      <c r="E5" s="16"/>
      <c r="F5" s="16"/>
      <c r="G5" s="49">
        <f>+Assumptions!F14</f>
        <v>9.5</v>
      </c>
      <c r="I5" s="12" t="s">
        <v>60</v>
      </c>
      <c r="J5" s="16"/>
      <c r="K5" s="16"/>
      <c r="L5" s="16"/>
      <c r="M5" s="16"/>
      <c r="N5" s="49">
        <f>+G5</f>
        <v>9.5</v>
      </c>
      <c r="P5" s="12" t="s">
        <v>60</v>
      </c>
      <c r="Q5" s="16"/>
      <c r="R5" s="16"/>
      <c r="S5" s="16"/>
      <c r="T5" s="16"/>
      <c r="U5" s="101">
        <f>+N5</f>
        <v>9.5</v>
      </c>
      <c r="W5" s="83" t="s">
        <v>60</v>
      </c>
      <c r="X5" s="84"/>
      <c r="Y5" s="84"/>
      <c r="Z5" s="84"/>
      <c r="AA5" s="84"/>
      <c r="AB5" s="40"/>
      <c r="AD5" s="12" t="s">
        <v>60</v>
      </c>
      <c r="AE5" s="16"/>
      <c r="AF5" s="16"/>
      <c r="AG5" s="16"/>
      <c r="AH5" s="16"/>
      <c r="AI5" s="246">
        <v>180</v>
      </c>
      <c r="AK5" s="83"/>
      <c r="AL5" s="84"/>
      <c r="AM5" s="84"/>
      <c r="AN5" s="84"/>
      <c r="AO5" s="84"/>
      <c r="AP5" s="40"/>
      <c r="AR5" s="83"/>
      <c r="AS5" s="84"/>
      <c r="AT5" s="84"/>
      <c r="AU5" s="84"/>
      <c r="AV5" s="84"/>
      <c r="AW5" s="40"/>
    </row>
    <row r="6" spans="2:49" x14ac:dyDescent="0.25">
      <c r="B6" s="12" t="s">
        <v>63</v>
      </c>
      <c r="C6" s="16"/>
      <c r="D6" s="16"/>
      <c r="E6" s="16"/>
      <c r="F6" s="16"/>
      <c r="G6" s="50">
        <v>1</v>
      </c>
      <c r="I6" s="12" t="s">
        <v>63</v>
      </c>
      <c r="J6" s="16"/>
      <c r="K6" s="16"/>
      <c r="L6" s="16"/>
      <c r="M6" s="16"/>
      <c r="N6" s="50">
        <v>1</v>
      </c>
      <c r="P6" s="12" t="s">
        <v>63</v>
      </c>
      <c r="Q6" s="16"/>
      <c r="R6" s="16"/>
      <c r="S6" s="16"/>
      <c r="T6" s="16"/>
      <c r="U6" s="51">
        <f>+'Wheat Dual ~800Lb'!H3</f>
        <v>0.625</v>
      </c>
      <c r="W6" s="83" t="s">
        <v>63</v>
      </c>
      <c r="X6" s="84"/>
      <c r="Y6" s="84"/>
      <c r="Z6" s="84"/>
      <c r="AA6" s="84"/>
      <c r="AB6" s="85">
        <v>0</v>
      </c>
      <c r="AD6" s="12" t="s">
        <v>63</v>
      </c>
      <c r="AE6" s="16"/>
      <c r="AF6" s="16"/>
      <c r="AG6" s="16"/>
      <c r="AH6" s="16"/>
      <c r="AI6" s="50">
        <v>1</v>
      </c>
      <c r="AK6" s="83"/>
      <c r="AL6" s="84"/>
      <c r="AM6" s="84"/>
      <c r="AN6" s="84"/>
      <c r="AO6" s="84"/>
      <c r="AP6" s="85"/>
      <c r="AR6" s="83"/>
      <c r="AS6" s="84"/>
      <c r="AT6" s="84"/>
      <c r="AU6" s="84"/>
      <c r="AV6" s="84"/>
      <c r="AW6" s="85"/>
    </row>
    <row r="7" spans="2:49" x14ac:dyDescent="0.25">
      <c r="B7" s="12" t="s">
        <v>64</v>
      </c>
      <c r="C7" s="16"/>
      <c r="D7" s="16"/>
      <c r="E7" s="16"/>
      <c r="F7" s="16"/>
      <c r="G7" s="54">
        <f>+G5*G3</f>
        <v>380</v>
      </c>
      <c r="I7" s="12" t="s">
        <v>64</v>
      </c>
      <c r="J7" s="16"/>
      <c r="K7" s="16"/>
      <c r="L7" s="16"/>
      <c r="M7" s="16"/>
      <c r="N7" s="54">
        <f>+N5*N3</f>
        <v>332.5</v>
      </c>
      <c r="O7" s="5"/>
      <c r="P7" s="12" t="s">
        <v>64</v>
      </c>
      <c r="Q7" s="16"/>
      <c r="R7" s="16"/>
      <c r="S7" s="16"/>
      <c r="T7" s="16"/>
      <c r="U7" s="54">
        <f>+U5*U3*U6</f>
        <v>207.8125</v>
      </c>
      <c r="W7" s="83" t="s">
        <v>64</v>
      </c>
      <c r="X7" s="84"/>
      <c r="Y7" s="84"/>
      <c r="Z7" s="84"/>
      <c r="AA7" s="84"/>
      <c r="AB7" s="101">
        <v>0</v>
      </c>
      <c r="AD7" s="12" t="s">
        <v>64</v>
      </c>
      <c r="AE7" s="16"/>
      <c r="AF7" s="16"/>
      <c r="AG7" s="16"/>
      <c r="AH7" s="16"/>
      <c r="AI7" s="54">
        <f>+AI5*AI3</f>
        <v>373.09090909090912</v>
      </c>
      <c r="AK7" s="83"/>
      <c r="AL7" s="84"/>
      <c r="AM7" s="84"/>
      <c r="AN7" s="84"/>
      <c r="AO7" s="84"/>
      <c r="AP7" s="101"/>
      <c r="AR7" s="83"/>
      <c r="AS7" s="84"/>
      <c r="AT7" s="84"/>
      <c r="AU7" s="84"/>
      <c r="AV7" s="84"/>
      <c r="AW7" s="101"/>
    </row>
    <row r="8" spans="2:49" x14ac:dyDescent="0.25">
      <c r="B8" s="12"/>
      <c r="C8" s="16"/>
      <c r="D8" s="16"/>
      <c r="E8" s="16"/>
      <c r="F8" s="16"/>
      <c r="G8" s="39"/>
      <c r="I8" s="12" t="s">
        <v>65</v>
      </c>
      <c r="J8" s="16"/>
      <c r="K8" s="16"/>
      <c r="L8" s="16"/>
      <c r="M8" s="16"/>
      <c r="N8" s="39">
        <f>+'Wheat Dual  ~700Lb'!G4</f>
        <v>53.625</v>
      </c>
      <c r="O8" s="5"/>
      <c r="P8" s="12" t="s">
        <v>65</v>
      </c>
      <c r="Q8" s="16"/>
      <c r="R8" s="16"/>
      <c r="S8" s="16"/>
      <c r="T8" s="16"/>
      <c r="U8" s="54">
        <f>+'Wheat Dual ~800Lb'!G4+'Wheat Dual ~800Lb'!G5</f>
        <v>89.521250000000009</v>
      </c>
      <c r="W8" s="83" t="s">
        <v>65</v>
      </c>
      <c r="X8" s="84"/>
      <c r="Y8" s="84"/>
      <c r="Z8" s="84"/>
      <c r="AA8" s="84"/>
      <c r="AB8" s="58">
        <f>+'Wheat Graze Out'!G4+'Wheat Graze Out'!G5</f>
        <v>149.34833333333336</v>
      </c>
      <c r="AD8" s="12"/>
      <c r="AE8" s="16"/>
      <c r="AF8" s="16"/>
      <c r="AG8" s="16"/>
      <c r="AH8" s="16"/>
      <c r="AI8" s="39"/>
      <c r="AJ8" s="19"/>
      <c r="AK8" s="83" t="s">
        <v>65</v>
      </c>
      <c r="AL8" s="84"/>
      <c r="AM8" s="84"/>
      <c r="AN8" s="84"/>
      <c r="AO8" s="84"/>
      <c r="AP8" s="58">
        <f>+'Fescue Established'!G4</f>
        <v>137.18231741573035</v>
      </c>
      <c r="AR8" s="83" t="s">
        <v>65</v>
      </c>
      <c r="AS8" s="84"/>
      <c r="AT8" s="84"/>
      <c r="AU8" s="84"/>
      <c r="AV8" s="84"/>
      <c r="AW8" s="58">
        <f>+Triticale!G7</f>
        <v>170.80560545157641</v>
      </c>
    </row>
    <row r="9" spans="2:49" x14ac:dyDescent="0.25">
      <c r="B9" s="42" t="s">
        <v>72</v>
      </c>
      <c r="C9" s="55"/>
      <c r="D9" s="55"/>
      <c r="E9" s="55"/>
      <c r="F9" s="55"/>
      <c r="G9" s="57">
        <f>+G7+G8</f>
        <v>380</v>
      </c>
      <c r="I9" s="42" t="s">
        <v>72</v>
      </c>
      <c r="J9" s="55"/>
      <c r="K9" s="55"/>
      <c r="L9" s="55"/>
      <c r="M9" s="55"/>
      <c r="N9" s="57">
        <f>+N7+N8</f>
        <v>386.125</v>
      </c>
      <c r="O9" s="6"/>
      <c r="P9" s="42" t="s">
        <v>72</v>
      </c>
      <c r="Q9" s="55"/>
      <c r="R9" s="55"/>
      <c r="S9" s="55"/>
      <c r="T9" s="55"/>
      <c r="U9" s="57">
        <f>+U7+U8</f>
        <v>297.33375000000001</v>
      </c>
      <c r="W9" s="42" t="s">
        <v>72</v>
      </c>
      <c r="X9" s="55"/>
      <c r="Y9" s="55"/>
      <c r="Z9" s="55"/>
      <c r="AA9" s="55"/>
      <c r="AB9" s="57">
        <f>+AB7+AB8</f>
        <v>149.34833333333336</v>
      </c>
      <c r="AD9" s="42" t="s">
        <v>72</v>
      </c>
      <c r="AE9" s="55"/>
      <c r="AF9" s="55"/>
      <c r="AG9" s="55"/>
      <c r="AH9" s="55"/>
      <c r="AI9" s="57">
        <f>+AI7+AI8</f>
        <v>373.09090909090912</v>
      </c>
      <c r="AJ9" s="19"/>
      <c r="AK9" s="42" t="s">
        <v>72</v>
      </c>
      <c r="AL9" s="55"/>
      <c r="AM9" s="55"/>
      <c r="AN9" s="55"/>
      <c r="AO9" s="55"/>
      <c r="AP9" s="57">
        <f>+AP7+AP8</f>
        <v>137.18231741573035</v>
      </c>
      <c r="AR9" s="42" t="s">
        <v>72</v>
      </c>
      <c r="AS9" s="55"/>
      <c r="AT9" s="55"/>
      <c r="AU9" s="55"/>
      <c r="AV9" s="55"/>
      <c r="AW9" s="57">
        <f>+AW7+AW8</f>
        <v>170.80560545157641</v>
      </c>
    </row>
    <row r="10" spans="2:49" ht="3.75" customHeight="1" x14ac:dyDescent="0.25">
      <c r="B10" s="12"/>
      <c r="C10" s="16"/>
      <c r="D10" s="16"/>
      <c r="E10" s="16"/>
      <c r="F10" s="16"/>
      <c r="G10" s="13"/>
      <c r="I10" s="12"/>
      <c r="J10" s="16"/>
      <c r="K10" s="16"/>
      <c r="L10" s="16"/>
      <c r="M10" s="16"/>
      <c r="N10" s="13"/>
      <c r="P10" s="12"/>
      <c r="Q10" s="16"/>
      <c r="R10" s="16"/>
      <c r="S10" s="16"/>
      <c r="T10" s="16"/>
      <c r="U10" s="13"/>
      <c r="W10" s="83"/>
      <c r="X10" s="84"/>
      <c r="Y10" s="84"/>
      <c r="Z10" s="84"/>
      <c r="AA10" s="84"/>
      <c r="AB10" s="86"/>
      <c r="AD10" s="12"/>
      <c r="AE10" s="16"/>
      <c r="AF10" s="16"/>
      <c r="AG10" s="16"/>
      <c r="AH10" s="16"/>
      <c r="AI10" s="13"/>
      <c r="AK10" s="83"/>
      <c r="AL10" s="84"/>
      <c r="AM10" s="84"/>
      <c r="AN10" s="84"/>
      <c r="AO10" s="84"/>
      <c r="AP10" s="86"/>
      <c r="AR10" s="83"/>
      <c r="AS10" s="84"/>
      <c r="AT10" s="84"/>
      <c r="AU10" s="84"/>
      <c r="AV10" s="84"/>
      <c r="AW10" s="86"/>
    </row>
    <row r="11" spans="2:49" x14ac:dyDescent="0.25">
      <c r="B11" s="12" t="s">
        <v>11</v>
      </c>
      <c r="C11" s="16"/>
      <c r="D11" s="16"/>
      <c r="E11" s="16"/>
      <c r="F11" s="16"/>
      <c r="G11" s="58">
        <f>+'Wheat Grain'!G22</f>
        <v>196.09787499999999</v>
      </c>
      <c r="I11" s="12" t="s">
        <v>11</v>
      </c>
      <c r="J11" s="16"/>
      <c r="K11" s="16"/>
      <c r="L11" s="16"/>
      <c r="M11" s="16"/>
      <c r="N11" s="58">
        <f>+'Wheat Dual  ~700Lb'!G22</f>
        <v>220.943095</v>
      </c>
      <c r="O11" s="5"/>
      <c r="P11" s="12" t="s">
        <v>11</v>
      </c>
      <c r="Q11" s="16"/>
      <c r="R11" s="16"/>
      <c r="S11" s="16"/>
      <c r="T11" s="16"/>
      <c r="U11" s="58">
        <f>+'Wheat Dual ~800Lb'!G22</f>
        <v>220.943095</v>
      </c>
      <c r="W11" s="83" t="s">
        <v>11</v>
      </c>
      <c r="X11" s="84"/>
      <c r="Y11" s="84"/>
      <c r="Z11" s="84"/>
      <c r="AA11" s="84"/>
      <c r="AB11" s="58">
        <f>+'Wheat Graze Out'!G22</f>
        <v>215.07374999999999</v>
      </c>
      <c r="AD11" s="12" t="s">
        <v>11</v>
      </c>
      <c r="AE11" s="16"/>
      <c r="AF11" s="16"/>
      <c r="AG11" s="16"/>
      <c r="AH11" s="16"/>
      <c r="AI11" s="58">
        <f>+G11</f>
        <v>196.09787499999999</v>
      </c>
      <c r="AJ11" s="19"/>
      <c r="AK11" s="83" t="s">
        <v>11</v>
      </c>
      <c r="AL11" s="84"/>
      <c r="AM11" s="84"/>
      <c r="AN11" s="84"/>
      <c r="AO11" s="84"/>
      <c r="AP11" s="58">
        <f>+'Fescue Established'!G22</f>
        <v>48.197906976744186</v>
      </c>
      <c r="AR11" s="83" t="s">
        <v>11</v>
      </c>
      <c r="AS11" s="84"/>
      <c r="AT11" s="84"/>
      <c r="AU11" s="84"/>
      <c r="AV11" s="84"/>
      <c r="AW11" s="58">
        <f>+Triticale!G22</f>
        <v>143.22687500000001</v>
      </c>
    </row>
    <row r="12" spans="2:49" x14ac:dyDescent="0.25">
      <c r="B12" s="12" t="s">
        <v>61</v>
      </c>
      <c r="C12" s="16"/>
      <c r="D12" s="16"/>
      <c r="E12" s="16"/>
      <c r="F12" s="16"/>
      <c r="G12" s="58">
        <f>+'Wheat Grain'!G27</f>
        <v>49.6</v>
      </c>
      <c r="I12" s="12" t="s">
        <v>61</v>
      </c>
      <c r="J12" s="16"/>
      <c r="K12" s="16"/>
      <c r="L12" s="16"/>
      <c r="M12" s="16"/>
      <c r="N12" s="58">
        <f>+'Wheat Dual  ~700Lb'!G24</f>
        <v>49.6</v>
      </c>
      <c r="O12" s="5"/>
      <c r="P12" s="12" t="s">
        <v>61</v>
      </c>
      <c r="Q12" s="16"/>
      <c r="R12" s="16"/>
      <c r="S12" s="16"/>
      <c r="T12" s="16"/>
      <c r="U12" s="58">
        <f>+'Wheat Dual ~800Lb'!G24</f>
        <v>31</v>
      </c>
      <c r="W12" s="83" t="s">
        <v>61</v>
      </c>
      <c r="X12" s="84"/>
      <c r="Y12" s="84"/>
      <c r="Z12" s="84"/>
      <c r="AA12" s="84"/>
      <c r="AB12" s="58">
        <f>+'Wheat Dual ~800Lb'!N19</f>
        <v>0</v>
      </c>
      <c r="AD12" s="12" t="s">
        <v>174</v>
      </c>
      <c r="AE12" s="16"/>
      <c r="AF12" s="16"/>
      <c r="AG12" s="16"/>
      <c r="AH12" s="16"/>
      <c r="AI12" s="58">
        <f>Assumptions!F38*AI3</f>
        <v>91.407272727272726</v>
      </c>
      <c r="AJ12" s="19"/>
      <c r="AK12" s="83"/>
      <c r="AL12" s="84"/>
      <c r="AM12" s="84"/>
      <c r="AN12" s="84"/>
      <c r="AO12" s="84"/>
      <c r="AP12" s="58"/>
      <c r="AR12" s="83"/>
      <c r="AS12" s="84"/>
      <c r="AT12" s="84"/>
      <c r="AU12" s="84"/>
      <c r="AV12" s="84"/>
      <c r="AW12" s="58"/>
    </row>
    <row r="13" spans="2:49" x14ac:dyDescent="0.25">
      <c r="B13" s="41" t="s">
        <v>33</v>
      </c>
      <c r="C13" s="47"/>
      <c r="D13" s="47"/>
      <c r="E13" s="47"/>
      <c r="F13" s="47"/>
      <c r="G13" s="59">
        <f>+G11+G12</f>
        <v>245.69787499999998</v>
      </c>
      <c r="I13" s="41" t="s">
        <v>33</v>
      </c>
      <c r="J13" s="47"/>
      <c r="K13" s="47"/>
      <c r="L13" s="47"/>
      <c r="M13" s="47"/>
      <c r="N13" s="59">
        <f>+N11+N12</f>
        <v>270.54309499999999</v>
      </c>
      <c r="O13" s="6"/>
      <c r="P13" s="41" t="s">
        <v>33</v>
      </c>
      <c r="Q13" s="47"/>
      <c r="R13" s="47"/>
      <c r="S13" s="47"/>
      <c r="T13" s="47"/>
      <c r="U13" s="59">
        <f>+U11+U12</f>
        <v>251.943095</v>
      </c>
      <c r="W13" s="87" t="s">
        <v>33</v>
      </c>
      <c r="X13" s="88"/>
      <c r="Y13" s="88"/>
      <c r="Z13" s="88"/>
      <c r="AA13" s="88"/>
      <c r="AB13" s="89">
        <f>+AB11+AB12</f>
        <v>215.07374999999999</v>
      </c>
      <c r="AD13" s="41" t="s">
        <v>33</v>
      </c>
      <c r="AE13" s="47"/>
      <c r="AF13" s="47"/>
      <c r="AG13" s="47"/>
      <c r="AH13" s="47"/>
      <c r="AI13" s="59">
        <f>+AI11+AI12</f>
        <v>287.50514772727274</v>
      </c>
      <c r="AJ13" s="19"/>
      <c r="AK13" s="87" t="s">
        <v>33</v>
      </c>
      <c r="AL13" s="88"/>
      <c r="AM13" s="88"/>
      <c r="AN13" s="88"/>
      <c r="AO13" s="88"/>
      <c r="AP13" s="89">
        <f>+AP11+AP12</f>
        <v>48.197906976744186</v>
      </c>
      <c r="AR13" s="87" t="s">
        <v>33</v>
      </c>
      <c r="AS13" s="88"/>
      <c r="AT13" s="88"/>
      <c r="AU13" s="88"/>
      <c r="AV13" s="88"/>
      <c r="AW13" s="89">
        <f>+AW11+AW12</f>
        <v>143.22687500000001</v>
      </c>
    </row>
    <row r="14" spans="2:49" ht="4.5" customHeight="1" x14ac:dyDescent="0.25">
      <c r="B14" s="12"/>
      <c r="C14" s="16"/>
      <c r="D14" s="16"/>
      <c r="E14" s="16"/>
      <c r="F14" s="16"/>
      <c r="G14" s="13"/>
      <c r="I14" s="12"/>
      <c r="J14" s="16"/>
      <c r="K14" s="16"/>
      <c r="L14" s="16"/>
      <c r="M14" s="16"/>
      <c r="N14" s="13"/>
      <c r="P14" s="12"/>
      <c r="Q14" s="16"/>
      <c r="R14" s="16"/>
      <c r="S14" s="16"/>
      <c r="T14" s="16"/>
      <c r="U14" s="13"/>
      <c r="W14" s="83"/>
      <c r="X14" s="84"/>
      <c r="Y14" s="84"/>
      <c r="Z14" s="84"/>
      <c r="AA14" s="84"/>
      <c r="AB14" s="86"/>
      <c r="AD14" s="12"/>
      <c r="AE14" s="16"/>
      <c r="AF14" s="16"/>
      <c r="AG14" s="16"/>
      <c r="AH14" s="16"/>
      <c r="AI14" s="13"/>
      <c r="AK14" s="83"/>
      <c r="AL14" s="84"/>
      <c r="AM14" s="84"/>
      <c r="AN14" s="84"/>
      <c r="AO14" s="84"/>
      <c r="AP14" s="86"/>
      <c r="AR14" s="83"/>
      <c r="AS14" s="84"/>
      <c r="AT14" s="84"/>
      <c r="AU14" s="84"/>
      <c r="AV14" s="84"/>
      <c r="AW14" s="86"/>
    </row>
    <row r="15" spans="2:49" x14ac:dyDescent="0.25">
      <c r="B15" s="42" t="s">
        <v>74</v>
      </c>
      <c r="C15" s="55"/>
      <c r="D15" s="55"/>
      <c r="E15" s="55"/>
      <c r="F15" s="55"/>
      <c r="G15" s="97">
        <f>+G9-G13</f>
        <v>134.30212500000002</v>
      </c>
      <c r="H15" s="3"/>
      <c r="I15" s="42" t="s">
        <v>74</v>
      </c>
      <c r="J15" s="55"/>
      <c r="K15" s="55"/>
      <c r="L15" s="55"/>
      <c r="M15" s="55"/>
      <c r="N15" s="77">
        <f>+N9-N13</f>
        <v>115.58190500000001</v>
      </c>
      <c r="O15" s="6"/>
      <c r="P15" s="42" t="s">
        <v>74</v>
      </c>
      <c r="Q15" s="55"/>
      <c r="R15" s="55"/>
      <c r="S15" s="55"/>
      <c r="T15" s="55"/>
      <c r="U15" s="97">
        <f>+U9-U13</f>
        <v>45.39065500000001</v>
      </c>
      <c r="W15" s="42" t="s">
        <v>74</v>
      </c>
      <c r="X15" s="55"/>
      <c r="Y15" s="55"/>
      <c r="Z15" s="55"/>
      <c r="AA15" s="55"/>
      <c r="AB15" s="97">
        <f>+AB9-AB13</f>
        <v>-65.725416666666632</v>
      </c>
      <c r="AD15" s="42" t="s">
        <v>74</v>
      </c>
      <c r="AE15" s="55"/>
      <c r="AF15" s="55"/>
      <c r="AG15" s="55"/>
      <c r="AH15" s="55"/>
      <c r="AI15" s="97">
        <f>+AI9-AI13</f>
        <v>85.585761363636379</v>
      </c>
      <c r="AK15" s="42" t="s">
        <v>74</v>
      </c>
      <c r="AL15" s="55"/>
      <c r="AM15" s="55"/>
      <c r="AN15" s="55"/>
      <c r="AO15" s="55"/>
      <c r="AP15" s="97">
        <f>+AP9-AP13</f>
        <v>88.984410438986174</v>
      </c>
      <c r="AR15" s="42" t="s">
        <v>74</v>
      </c>
      <c r="AS15" s="55"/>
      <c r="AT15" s="55"/>
      <c r="AU15" s="55"/>
      <c r="AV15" s="55"/>
      <c r="AW15" s="97">
        <f>+AW9-AW13</f>
        <v>27.578730451576405</v>
      </c>
    </row>
    <row r="16" spans="2:49" ht="2.25" customHeight="1" x14ac:dyDescent="0.25">
      <c r="B16" s="12"/>
      <c r="C16" s="16"/>
      <c r="D16" s="16"/>
      <c r="E16" s="16"/>
      <c r="F16" s="16"/>
      <c r="G16" s="13"/>
      <c r="I16" s="12"/>
      <c r="J16" s="16"/>
      <c r="K16" s="16"/>
      <c r="L16" s="16"/>
      <c r="M16" s="16"/>
      <c r="N16" s="13"/>
      <c r="P16" s="12"/>
      <c r="Q16" s="16"/>
      <c r="R16" s="16"/>
      <c r="S16" s="16"/>
      <c r="T16" s="16"/>
      <c r="U16" s="78"/>
      <c r="W16" s="83"/>
      <c r="X16" s="84"/>
      <c r="Y16" s="84"/>
      <c r="Z16" s="84"/>
      <c r="AA16" s="84"/>
      <c r="AB16" s="79"/>
      <c r="AD16" s="12"/>
      <c r="AE16" s="16"/>
      <c r="AF16" s="16"/>
      <c r="AG16" s="16"/>
      <c r="AH16" s="16"/>
      <c r="AI16" s="13"/>
      <c r="AK16" s="83"/>
      <c r="AL16" s="84"/>
      <c r="AM16" s="84"/>
      <c r="AN16" s="84"/>
      <c r="AO16" s="84"/>
      <c r="AP16" s="79"/>
      <c r="AR16" s="83"/>
      <c r="AS16" s="84"/>
      <c r="AT16" s="84"/>
      <c r="AU16" s="84"/>
      <c r="AV16" s="84"/>
      <c r="AW16" s="79"/>
    </row>
    <row r="17" spans="2:49" x14ac:dyDescent="0.25">
      <c r="B17" s="12" t="s">
        <v>62</v>
      </c>
      <c r="C17" s="16"/>
      <c r="D17" s="16"/>
      <c r="E17" s="16"/>
      <c r="F17" s="16"/>
      <c r="G17" s="58">
        <f>+'Wheat Grain'!G47</f>
        <v>64.67</v>
      </c>
      <c r="I17" s="12" t="s">
        <v>62</v>
      </c>
      <c r="J17" s="16"/>
      <c r="K17" s="16"/>
      <c r="L17" s="16"/>
      <c r="M17" s="16"/>
      <c r="N17" s="58">
        <f>+'Wheat Dual  ~700Lb'!G47</f>
        <v>64.67</v>
      </c>
      <c r="O17" s="5"/>
      <c r="P17" s="12" t="s">
        <v>62</v>
      </c>
      <c r="Q17" s="16"/>
      <c r="R17" s="16"/>
      <c r="S17" s="16"/>
      <c r="T17" s="16"/>
      <c r="U17" s="99">
        <f>+'Wheat Dual ~800Lb'!G47</f>
        <v>64.67</v>
      </c>
      <c r="W17" s="83" t="s">
        <v>62</v>
      </c>
      <c r="X17" s="84"/>
      <c r="Y17" s="84"/>
      <c r="Z17" s="84"/>
      <c r="AA17" s="84"/>
      <c r="AB17" s="99">
        <f>+'Wheat Graze Out'!G47</f>
        <v>44.94</v>
      </c>
      <c r="AD17" s="12" t="s">
        <v>62</v>
      </c>
      <c r="AE17" s="16"/>
      <c r="AF17" s="16"/>
      <c r="AG17" s="16"/>
      <c r="AH17" s="16"/>
      <c r="AI17" s="58">
        <f>+G17</f>
        <v>64.67</v>
      </c>
      <c r="AK17" s="83" t="s">
        <v>62</v>
      </c>
      <c r="AL17" s="84"/>
      <c r="AM17" s="84"/>
      <c r="AN17" s="84"/>
      <c r="AO17" s="84"/>
      <c r="AP17" s="99">
        <f>+'Fescue Established'!G47</f>
        <v>83.122156250000003</v>
      </c>
      <c r="AR17" s="83" t="s">
        <v>62</v>
      </c>
      <c r="AS17" s="84"/>
      <c r="AT17" s="84"/>
      <c r="AU17" s="84"/>
      <c r="AV17" s="84"/>
      <c r="AW17" s="99">
        <f>+Triticale!G47</f>
        <v>44.94</v>
      </c>
    </row>
    <row r="18" spans="2:49" ht="2.25" customHeight="1" x14ac:dyDescent="0.25">
      <c r="B18" s="12"/>
      <c r="C18" s="16"/>
      <c r="D18" s="16"/>
      <c r="E18" s="16"/>
      <c r="F18" s="16"/>
      <c r="G18" s="54"/>
      <c r="I18" s="12"/>
      <c r="J18" s="16"/>
      <c r="K18" s="16"/>
      <c r="L18" s="16"/>
      <c r="M18" s="16"/>
      <c r="N18" s="54"/>
      <c r="P18" s="12"/>
      <c r="Q18" s="16"/>
      <c r="R18" s="16"/>
      <c r="S18" s="16"/>
      <c r="T18" s="16"/>
      <c r="U18" s="100"/>
      <c r="W18" s="83"/>
      <c r="X18" s="84"/>
      <c r="Y18" s="84"/>
      <c r="Z18" s="84"/>
      <c r="AA18" s="84"/>
      <c r="AB18" s="79"/>
      <c r="AD18" s="12"/>
      <c r="AE18" s="16"/>
      <c r="AF18" s="16"/>
      <c r="AG18" s="16"/>
      <c r="AH18" s="16"/>
      <c r="AI18" s="54"/>
      <c r="AK18" s="83"/>
      <c r="AL18" s="84"/>
      <c r="AM18" s="84"/>
      <c r="AN18" s="84"/>
      <c r="AO18" s="84"/>
      <c r="AP18" s="79"/>
      <c r="AR18" s="83"/>
      <c r="AS18" s="84"/>
      <c r="AT18" s="84"/>
      <c r="AU18" s="84"/>
      <c r="AV18" s="84"/>
      <c r="AW18" s="79"/>
    </row>
    <row r="19" spans="2:49" ht="15.75" thickBot="1" x14ac:dyDescent="0.3">
      <c r="B19" s="44" t="s">
        <v>73</v>
      </c>
      <c r="C19" s="56"/>
      <c r="D19" s="56"/>
      <c r="E19" s="56"/>
      <c r="F19" s="56"/>
      <c r="G19" s="98">
        <f>+G15-G17</f>
        <v>69.632125000000016</v>
      </c>
      <c r="I19" s="44" t="s">
        <v>73</v>
      </c>
      <c r="J19" s="56"/>
      <c r="K19" s="56"/>
      <c r="L19" s="56"/>
      <c r="M19" s="56"/>
      <c r="N19" s="98">
        <f>+N15-N17</f>
        <v>50.911905000000004</v>
      </c>
      <c r="O19" s="5"/>
      <c r="P19" s="44" t="s">
        <v>73</v>
      </c>
      <c r="Q19" s="56"/>
      <c r="R19" s="56"/>
      <c r="S19" s="56"/>
      <c r="T19" s="56"/>
      <c r="U19" s="98">
        <f>+U15-U17</f>
        <v>-19.279344999999992</v>
      </c>
      <c r="W19" s="44" t="s">
        <v>73</v>
      </c>
      <c r="X19" s="56"/>
      <c r="Y19" s="56"/>
      <c r="Z19" s="56"/>
      <c r="AA19" s="56"/>
      <c r="AB19" s="82">
        <f>+AB15-AB17</f>
        <v>-110.66541666666663</v>
      </c>
      <c r="AD19" s="44" t="s">
        <v>73</v>
      </c>
      <c r="AE19" s="56"/>
      <c r="AF19" s="56"/>
      <c r="AG19" s="56"/>
      <c r="AH19" s="56"/>
      <c r="AI19" s="98">
        <f>+AI15-AI17</f>
        <v>20.915761363636378</v>
      </c>
      <c r="AK19" s="44" t="s">
        <v>73</v>
      </c>
      <c r="AL19" s="56"/>
      <c r="AM19" s="56"/>
      <c r="AN19" s="56"/>
      <c r="AO19" s="56"/>
      <c r="AP19" s="98">
        <f>+AP15-AP17</f>
        <v>5.8622541889861708</v>
      </c>
      <c r="AR19" s="44" t="s">
        <v>73</v>
      </c>
      <c r="AS19" s="56"/>
      <c r="AT19" s="56"/>
      <c r="AU19" s="56"/>
      <c r="AV19" s="56"/>
      <c r="AW19" s="98">
        <f>+AW15-AW17</f>
        <v>-17.361269548423593</v>
      </c>
    </row>
    <row r="20" spans="2:49" ht="15.75" hidden="1" thickBot="1" x14ac:dyDescent="0.3">
      <c r="U20" s="94"/>
    </row>
    <row r="21" spans="2:49" x14ac:dyDescent="0.25">
      <c r="B21" s="11" t="s">
        <v>67</v>
      </c>
      <c r="C21" s="15"/>
      <c r="D21" s="15"/>
      <c r="E21" s="15"/>
      <c r="F21" s="15"/>
      <c r="G21" s="102">
        <f>+G13/G3</f>
        <v>6.1424468749999992</v>
      </c>
      <c r="I21" s="11" t="s">
        <v>67</v>
      </c>
      <c r="J21" s="15"/>
      <c r="K21" s="15"/>
      <c r="L21" s="15"/>
      <c r="M21" s="15"/>
      <c r="N21" s="102">
        <f>+(N13-N8)/N3</f>
        <v>6.1976598571428569</v>
      </c>
      <c r="O21" s="8"/>
      <c r="P21" s="11" t="s">
        <v>67</v>
      </c>
      <c r="Q21" s="15"/>
      <c r="R21" s="15"/>
      <c r="S21" s="15"/>
      <c r="T21" s="15"/>
      <c r="U21" s="95">
        <f>+(U13-N8)/U3</f>
        <v>5.6662312857142858</v>
      </c>
      <c r="W21" s="11" t="s">
        <v>81</v>
      </c>
      <c r="X21" s="15"/>
      <c r="Y21" s="15"/>
      <c r="Z21" s="15"/>
      <c r="AA21" s="15"/>
      <c r="AB21" s="46">
        <f>+AB13/AB4</f>
        <v>0.93605287973306239</v>
      </c>
      <c r="AD21" s="11" t="s">
        <v>67</v>
      </c>
      <c r="AE21" s="15"/>
      <c r="AF21" s="15"/>
      <c r="AG21" s="15"/>
      <c r="AH21" s="15"/>
      <c r="AI21" s="247">
        <f>+AI13/AI3</f>
        <v>138.70862390350877</v>
      </c>
      <c r="AK21" s="11" t="s">
        <v>81</v>
      </c>
      <c r="AL21" s="15"/>
      <c r="AM21" s="15"/>
      <c r="AN21" s="15"/>
      <c r="AO21" s="15"/>
      <c r="AP21" s="46">
        <f>+AP13/AP4</f>
        <v>0.2283722867863679</v>
      </c>
      <c r="AR21" s="11" t="s">
        <v>81</v>
      </c>
      <c r="AS21" s="15"/>
      <c r="AT21" s="15"/>
      <c r="AU21" s="15"/>
      <c r="AV21" s="15"/>
      <c r="AW21" s="46">
        <f>+AW13/AW4</f>
        <v>0.54504925938389792</v>
      </c>
    </row>
    <row r="22" spans="2:49" ht="15.75" thickBot="1" x14ac:dyDescent="0.3">
      <c r="B22" s="14" t="s">
        <v>66</v>
      </c>
      <c r="C22" s="17"/>
      <c r="D22" s="17"/>
      <c r="E22" s="17"/>
      <c r="F22" s="17"/>
      <c r="G22" s="103">
        <f>+(G13+G17)/G3</f>
        <v>7.7591968749999989</v>
      </c>
      <c r="I22" s="14" t="s">
        <v>66</v>
      </c>
      <c r="J22" s="17"/>
      <c r="K22" s="17"/>
      <c r="L22" s="17"/>
      <c r="M22" s="17"/>
      <c r="N22" s="103">
        <f>+(N13+N17-N8)/N3</f>
        <v>8.0453741428571437</v>
      </c>
      <c r="O22" s="8"/>
      <c r="P22" s="14" t="s">
        <v>66</v>
      </c>
      <c r="Q22" s="17"/>
      <c r="R22" s="17"/>
      <c r="S22" s="17"/>
      <c r="T22" s="17"/>
      <c r="U22" s="96">
        <f>+(U13+U17-N8)/U3</f>
        <v>7.5139455714285708</v>
      </c>
      <c r="W22" s="14" t="s">
        <v>82</v>
      </c>
      <c r="X22" s="17"/>
      <c r="Y22" s="17"/>
      <c r="Z22" s="17"/>
      <c r="AA22" s="17"/>
      <c r="AB22" s="18">
        <f>+(AB17+AB13)/AB4</f>
        <v>1.1316426084433482</v>
      </c>
      <c r="AD22" s="14" t="s">
        <v>66</v>
      </c>
      <c r="AE22" s="17"/>
      <c r="AF22" s="17"/>
      <c r="AG22" s="17"/>
      <c r="AH22" s="17"/>
      <c r="AI22" s="248">
        <f>+(AI13+AI17)/AI3</f>
        <v>169.9090625</v>
      </c>
      <c r="AK22" s="14" t="s">
        <v>82</v>
      </c>
      <c r="AL22" s="17"/>
      <c r="AM22" s="17"/>
      <c r="AN22" s="17"/>
      <c r="AO22" s="17"/>
      <c r="AP22" s="18">
        <f>+(AP17+AP13)/AP4</f>
        <v>0.62222334995775441</v>
      </c>
      <c r="AR22" s="14" t="s">
        <v>82</v>
      </c>
      <c r="AS22" s="17"/>
      <c r="AT22" s="17"/>
      <c r="AU22" s="17"/>
      <c r="AV22" s="17"/>
      <c r="AW22" s="18">
        <f>+(AW17+AW13)/AW4</f>
        <v>0.71606823690967569</v>
      </c>
    </row>
    <row r="23" spans="2:49" ht="4.5" customHeight="1" thickBot="1" x14ac:dyDescent="0.3"/>
    <row r="24" spans="2:49" ht="16.5" thickTop="1" thickBot="1" x14ac:dyDescent="0.3">
      <c r="B24" s="352" t="s">
        <v>117</v>
      </c>
      <c r="C24" s="353"/>
      <c r="D24" s="353"/>
      <c r="E24" s="353"/>
      <c r="F24" s="353"/>
      <c r="G24" s="354"/>
      <c r="I24" s="352" t="s">
        <v>117</v>
      </c>
      <c r="J24" s="353"/>
      <c r="K24" s="353"/>
      <c r="L24" s="353"/>
      <c r="M24" s="353"/>
      <c r="N24" s="354"/>
      <c r="P24" s="352" t="s">
        <v>117</v>
      </c>
      <c r="Q24" s="353"/>
      <c r="R24" s="353"/>
      <c r="S24" s="353"/>
      <c r="T24" s="353"/>
      <c r="U24" s="354"/>
      <c r="W24" s="352" t="s">
        <v>117</v>
      </c>
      <c r="X24" s="353"/>
      <c r="Y24" s="353"/>
      <c r="Z24" s="353"/>
      <c r="AA24" s="353"/>
      <c r="AB24" s="354"/>
      <c r="AD24" s="352" t="s">
        <v>117</v>
      </c>
      <c r="AE24" s="353"/>
      <c r="AF24" s="353"/>
      <c r="AG24" s="353"/>
      <c r="AH24" s="353"/>
      <c r="AI24" s="354"/>
      <c r="AK24" s="352" t="s">
        <v>117</v>
      </c>
      <c r="AL24" s="353"/>
      <c r="AM24" s="353"/>
      <c r="AN24" s="353"/>
      <c r="AO24" s="353"/>
      <c r="AP24" s="354"/>
      <c r="AR24" s="352" t="s">
        <v>117</v>
      </c>
      <c r="AS24" s="353"/>
      <c r="AT24" s="353"/>
      <c r="AU24" s="353"/>
      <c r="AV24" s="353"/>
      <c r="AW24" s="354"/>
    </row>
    <row r="25" spans="2:49" ht="15.75" thickTop="1" x14ac:dyDescent="0.25">
      <c r="B25" s="60" t="s">
        <v>58</v>
      </c>
      <c r="C25" s="361" t="s">
        <v>114</v>
      </c>
      <c r="D25" s="362"/>
      <c r="E25" s="362" t="s">
        <v>60</v>
      </c>
      <c r="F25" s="362"/>
      <c r="G25" s="363"/>
      <c r="I25" s="60" t="s">
        <v>58</v>
      </c>
      <c r="J25" s="107" t="s">
        <v>114</v>
      </c>
      <c r="K25" s="108"/>
      <c r="L25" s="108" t="s">
        <v>60</v>
      </c>
      <c r="M25" s="108"/>
      <c r="N25" s="109"/>
      <c r="O25" s="7"/>
      <c r="P25" s="60" t="s">
        <v>58</v>
      </c>
      <c r="Q25" s="107" t="s">
        <v>114</v>
      </c>
      <c r="R25" s="108"/>
      <c r="S25" s="108" t="s">
        <v>60</v>
      </c>
      <c r="T25" s="108"/>
      <c r="U25" s="109"/>
      <c r="W25" s="60" t="s">
        <v>109</v>
      </c>
      <c r="X25" s="361" t="s">
        <v>107</v>
      </c>
      <c r="Y25" s="362"/>
      <c r="Z25" s="362"/>
      <c r="AA25" s="362"/>
      <c r="AB25" s="363"/>
      <c r="AD25" s="60" t="s">
        <v>58</v>
      </c>
      <c r="AE25" s="361" t="s">
        <v>186</v>
      </c>
      <c r="AF25" s="362"/>
      <c r="AG25" s="362" t="s">
        <v>60</v>
      </c>
      <c r="AH25" s="362"/>
      <c r="AI25" s="363"/>
      <c r="AK25" s="60" t="s">
        <v>109</v>
      </c>
      <c r="AL25" s="361" t="s">
        <v>107</v>
      </c>
      <c r="AM25" s="362"/>
      <c r="AN25" s="362"/>
      <c r="AO25" s="362"/>
      <c r="AP25" s="363"/>
      <c r="AR25" s="60" t="s">
        <v>109</v>
      </c>
      <c r="AS25" s="361" t="s">
        <v>107</v>
      </c>
      <c r="AT25" s="362"/>
      <c r="AU25" s="362"/>
      <c r="AV25" s="362"/>
      <c r="AW25" s="363"/>
    </row>
    <row r="26" spans="2:49" ht="15.75" thickBot="1" x14ac:dyDescent="0.3">
      <c r="B26" s="61"/>
      <c r="C26" s="74">
        <f>+E26*0.9</f>
        <v>8.5500000000000007</v>
      </c>
      <c r="D26" s="75">
        <f>+E26*0.95</f>
        <v>9.0250000000000004</v>
      </c>
      <c r="E26" s="80">
        <f>+G5</f>
        <v>9.5</v>
      </c>
      <c r="F26" s="75">
        <f>+E26*1.05</f>
        <v>9.9749999999999996</v>
      </c>
      <c r="G26" s="76">
        <f>+E26*1.1</f>
        <v>10.450000000000001</v>
      </c>
      <c r="I26" s="61"/>
      <c r="J26" s="74">
        <f>+L26*0.9</f>
        <v>8.5500000000000007</v>
      </c>
      <c r="K26" s="75">
        <f>+L26*0.95</f>
        <v>9.0250000000000004</v>
      </c>
      <c r="L26" s="80">
        <f>+N5</f>
        <v>9.5</v>
      </c>
      <c r="M26" s="75">
        <f>+L26*1.05</f>
        <v>9.9749999999999996</v>
      </c>
      <c r="N26" s="76">
        <f>+L26*1.1</f>
        <v>10.450000000000001</v>
      </c>
      <c r="O26" s="9"/>
      <c r="P26" s="61"/>
      <c r="Q26" s="74">
        <f>+S26*0.9</f>
        <v>8.5500000000000007</v>
      </c>
      <c r="R26" s="75">
        <f>+S26*0.95</f>
        <v>9.0250000000000004</v>
      </c>
      <c r="S26" s="80">
        <f>+U5</f>
        <v>9.5</v>
      </c>
      <c r="T26" s="75">
        <f>+S26*1.05</f>
        <v>9.9749999999999996</v>
      </c>
      <c r="U26" s="76">
        <f>+S26*1.1</f>
        <v>10.450000000000001</v>
      </c>
      <c r="W26" s="61" t="s">
        <v>8</v>
      </c>
      <c r="X26" s="74">
        <v>0.44</v>
      </c>
      <c r="Y26" s="75">
        <f>+Z26*0.9</f>
        <v>0.58500000000000008</v>
      </c>
      <c r="Z26" s="90">
        <f>+'Wheat Graze Out'!N5</f>
        <v>0.65</v>
      </c>
      <c r="AA26" s="75">
        <v>0.7</v>
      </c>
      <c r="AB26" s="76">
        <v>0.8</v>
      </c>
      <c r="AD26" s="61" t="s">
        <v>187</v>
      </c>
      <c r="AE26" s="249">
        <f>+AG26*0.9</f>
        <v>162</v>
      </c>
      <c r="AF26" s="250">
        <f>+AG26*0.95</f>
        <v>171</v>
      </c>
      <c r="AG26" s="251">
        <f>+AI5</f>
        <v>180</v>
      </c>
      <c r="AH26" s="250">
        <f>+AG26*1.05</f>
        <v>189</v>
      </c>
      <c r="AI26" s="252">
        <f>+AG26*1.1</f>
        <v>198.00000000000003</v>
      </c>
      <c r="AK26" s="61" t="s">
        <v>8</v>
      </c>
      <c r="AL26" s="74">
        <v>0.44</v>
      </c>
      <c r="AM26" s="75">
        <v>0.5</v>
      </c>
      <c r="AN26" s="90">
        <f>+Z26</f>
        <v>0.65</v>
      </c>
      <c r="AO26" s="75">
        <v>0.7</v>
      </c>
      <c r="AP26" s="76">
        <v>0.8</v>
      </c>
      <c r="AR26" s="61" t="s">
        <v>8</v>
      </c>
      <c r="AS26" s="74">
        <v>0.44</v>
      </c>
      <c r="AT26" s="75">
        <v>0.5</v>
      </c>
      <c r="AU26" s="90">
        <v>0.55000000000000004</v>
      </c>
      <c r="AV26" s="75">
        <v>0.7</v>
      </c>
      <c r="AW26" s="76">
        <v>0.8</v>
      </c>
    </row>
    <row r="27" spans="2:49" ht="15.75" thickTop="1" x14ac:dyDescent="0.25">
      <c r="B27" s="62">
        <f>+B29*0.8</f>
        <v>32</v>
      </c>
      <c r="C27" s="63">
        <f>+(C$26*$B27-$G$13-$G$17)</f>
        <v>-36.767874999999961</v>
      </c>
      <c r="D27" s="64">
        <f>+(D$26*$B27-$G$13-$G$17)</f>
        <v>-21.567874999999972</v>
      </c>
      <c r="E27" s="64">
        <f t="shared" ref="E27:G27" si="0">+(E$26*$B27-$G$13-$G$17)</f>
        <v>-6.3678749999999837</v>
      </c>
      <c r="F27" s="64">
        <f t="shared" si="0"/>
        <v>8.8321250000000049</v>
      </c>
      <c r="G27" s="65">
        <f t="shared" si="0"/>
        <v>24.03212500000005</v>
      </c>
      <c r="I27" s="62">
        <f>+I29*0.8</f>
        <v>28</v>
      </c>
      <c r="J27" s="63">
        <f>+(J$26*$I27+$N$8-$N$13-$N$17)</f>
        <v>-42.188094999999961</v>
      </c>
      <c r="K27" s="64">
        <f t="shared" ref="K27:N27" si="1">+(K$26*$I27+$N$8-$N$13-$N$17)</f>
        <v>-28.88809499999995</v>
      </c>
      <c r="L27" s="64">
        <f t="shared" si="1"/>
        <v>-15.588094999999996</v>
      </c>
      <c r="M27" s="64">
        <f t="shared" si="1"/>
        <v>-2.2880949999999842</v>
      </c>
      <c r="N27" s="65">
        <f t="shared" si="1"/>
        <v>11.011905000000027</v>
      </c>
      <c r="P27" s="62">
        <f>+P29*0.8</f>
        <v>28</v>
      </c>
      <c r="Q27" s="63">
        <f>+(Q$26*$P27*$U$6+$U$8-$U$13-$U$17)</f>
        <v>-77.466844999999964</v>
      </c>
      <c r="R27" s="64">
        <f t="shared" ref="R27:U27" si="2">+(R$26*$P27*$U$6+$U$8-$U$13-$U$17)</f>
        <v>-69.154344999999992</v>
      </c>
      <c r="S27" s="64">
        <f t="shared" si="2"/>
        <v>-60.841844999999992</v>
      </c>
      <c r="T27" s="64">
        <f t="shared" si="2"/>
        <v>-52.529344999999992</v>
      </c>
      <c r="U27" s="65">
        <f t="shared" si="2"/>
        <v>-44.216844999999992</v>
      </c>
      <c r="W27" s="62">
        <f>+W29*0.9</f>
        <v>206.79000000000002</v>
      </c>
      <c r="X27" s="63">
        <f>+(X$26*$W27)-$AB$13-$AB$17</f>
        <v>-169.02614999999997</v>
      </c>
      <c r="Y27" s="64">
        <f t="shared" ref="Y27:AB27" si="3">+(Y$26*$W27)-$AB$13-$AB$17</f>
        <v>-139.04159999999996</v>
      </c>
      <c r="Z27" s="64">
        <f t="shared" si="3"/>
        <v>-125.60024999999996</v>
      </c>
      <c r="AA27" s="64">
        <f t="shared" si="3"/>
        <v>-115.26074999999997</v>
      </c>
      <c r="AB27" s="65">
        <f t="shared" si="3"/>
        <v>-94.581749999999971</v>
      </c>
      <c r="AD27" s="263">
        <f>+B27*60/0.4/2200*Assumptions!$F$40</f>
        <v>1.658181818181818</v>
      </c>
      <c r="AE27" s="140">
        <f>+(AE$26*$AD27-$AI$11-$AI$17-$AD27*Assumptions!$F$38)</f>
        <v>-65.268238636363677</v>
      </c>
      <c r="AF27" s="141">
        <f>+(AF$26*$AD27-$AI$11-$AI$17-$AD27*Assumptions!$F$38)</f>
        <v>-50.3446022727273</v>
      </c>
      <c r="AG27" s="141">
        <f>+(AG$26*$AD27-$AI$11-$AI$17-$AD27*Assumptions!$F$38)</f>
        <v>-35.420965909090924</v>
      </c>
      <c r="AH27" s="141">
        <f>+(AH$26*$AD27-$AI$11-$AI$17-$AD27*Assumptions!$F$38)</f>
        <v>-20.497329545454548</v>
      </c>
      <c r="AI27" s="142">
        <f>+(AI$26*$AD27-$AI$11-$AI$17-$AD27*Assumptions!$F$38)</f>
        <v>-5.5736931818181716</v>
      </c>
      <c r="AK27" s="62">
        <f>+AK29*0.9</f>
        <v>189.94474719101123</v>
      </c>
      <c r="AL27" s="63">
        <f>+(AL$26*$AK27)-$AP$13-$AP$17</f>
        <v>-47.744374462699248</v>
      </c>
      <c r="AM27" s="64">
        <f t="shared" ref="AM27:AP27" si="4">+(AM$26*$AK27)-$AP$13-$AP$17</f>
        <v>-36.347689631238573</v>
      </c>
      <c r="AN27" s="64">
        <f t="shared" si="4"/>
        <v>-7.8559775525868787</v>
      </c>
      <c r="AO27" s="64">
        <f t="shared" si="4"/>
        <v>1.6412598069636744</v>
      </c>
      <c r="AP27" s="65">
        <f t="shared" si="4"/>
        <v>20.635734526064809</v>
      </c>
      <c r="AR27" s="62">
        <f>+AR29*0.9</f>
        <v>236.50006908679811</v>
      </c>
      <c r="AS27" s="63">
        <f>+(AS$26*$AR27)-$AW$13-$AW$17</f>
        <v>-84.106844601808831</v>
      </c>
      <c r="AT27" s="64">
        <f t="shared" ref="AT27:AW27" si="5">+(AT$26*$AR27)-$AW$13-$AW$17</f>
        <v>-69.916840456600951</v>
      </c>
      <c r="AU27" s="64">
        <f t="shared" si="5"/>
        <v>-58.09183700226103</v>
      </c>
      <c r="AV27" s="64">
        <f t="shared" si="5"/>
        <v>-22.616826639241339</v>
      </c>
      <c r="AW27" s="65">
        <f t="shared" si="5"/>
        <v>1.0331802694385033</v>
      </c>
    </row>
    <row r="28" spans="2:49" ht="15.75" thickBot="1" x14ac:dyDescent="0.3">
      <c r="B28" s="66">
        <f>+B29*0.9</f>
        <v>36</v>
      </c>
      <c r="C28" s="67">
        <f t="shared" ref="C28:G31" si="6">+(C$26*$B28-$G$13-$G$17)</f>
        <v>-2.5678749999999724</v>
      </c>
      <c r="D28" s="68">
        <f t="shared" si="6"/>
        <v>14.53212500000005</v>
      </c>
      <c r="E28" s="135">
        <f t="shared" si="6"/>
        <v>31.632125000000016</v>
      </c>
      <c r="F28" s="68">
        <f t="shared" si="6"/>
        <v>48.732124999999982</v>
      </c>
      <c r="G28" s="69">
        <f t="shared" si="6"/>
        <v>65.832125000000062</v>
      </c>
      <c r="I28" s="66">
        <f>+I29*0.9</f>
        <v>31.5</v>
      </c>
      <c r="J28" s="67">
        <f t="shared" ref="J28:N31" si="7">+(J$26*$I28+$N$8-$N$13-$N$17)</f>
        <v>-12.26309499999995</v>
      </c>
      <c r="K28" s="68">
        <f t="shared" si="7"/>
        <v>2.6994050000000271</v>
      </c>
      <c r="L28" s="135">
        <f t="shared" si="7"/>
        <v>17.661905000000004</v>
      </c>
      <c r="M28" s="68">
        <f t="shared" si="7"/>
        <v>32.624404999999982</v>
      </c>
      <c r="N28" s="69">
        <f t="shared" si="7"/>
        <v>47.586905000000016</v>
      </c>
      <c r="P28" s="66">
        <f>+P29*0.9</f>
        <v>31.5</v>
      </c>
      <c r="Q28" s="67">
        <f t="shared" ref="Q28:U31" si="8">+(Q$26*$P28*$U$6+$U$8-$U$13-$U$17)</f>
        <v>-58.763719999999992</v>
      </c>
      <c r="R28" s="68">
        <f t="shared" si="8"/>
        <v>-49.412157499999992</v>
      </c>
      <c r="S28" s="135">
        <f t="shared" si="8"/>
        <v>-40.060594999999992</v>
      </c>
      <c r="T28" s="68">
        <f t="shared" si="8"/>
        <v>-30.709032499999992</v>
      </c>
      <c r="U28" s="69">
        <f t="shared" si="8"/>
        <v>-21.357469999999992</v>
      </c>
      <c r="W28" s="66">
        <f>+W29*0.95</f>
        <v>218.27833333333334</v>
      </c>
      <c r="X28" s="67">
        <f t="shared" ref="X28:AB31" si="9">+(X$26*$W28)-$AB$13-$AB$17</f>
        <v>-163.9712833333333</v>
      </c>
      <c r="Y28" s="68">
        <f t="shared" si="9"/>
        <v>-132.32092499999999</v>
      </c>
      <c r="Z28" s="135">
        <f t="shared" si="9"/>
        <v>-118.13283333333331</v>
      </c>
      <c r="AA28" s="68">
        <f t="shared" si="9"/>
        <v>-107.21891666666667</v>
      </c>
      <c r="AB28" s="69">
        <f t="shared" si="9"/>
        <v>-85.391083333333313</v>
      </c>
      <c r="AD28" s="264">
        <f>+B28*60/0.4/2200*Assumptions!$F$40</f>
        <v>1.8654545454545455</v>
      </c>
      <c r="AE28" s="143">
        <f>+(AE$26*$AD28-$AI$11-$AI$17-$AD28*Assumptions!$F$38)</f>
        <v>-40.830784090909106</v>
      </c>
      <c r="AF28" s="144">
        <f>+(AF$26*$AD28-$AI$11-$AI$17-$AD28*Assumptions!$F$38)</f>
        <v>-24.041693181818175</v>
      </c>
      <c r="AG28" s="152">
        <f>+(AG$26*$AD28-$AI$11-$AI$17-$AD28*Assumptions!$F$38)</f>
        <v>-7.2526022727272448</v>
      </c>
      <c r="AH28" s="144">
        <f>+(AH$26*$AD28-$AI$11-$AI$17-$AD28*Assumptions!$F$38)</f>
        <v>9.5364886363636288</v>
      </c>
      <c r="AI28" s="145">
        <f>+(AI$26*$AD28-$AI$11-$AI$17-$AD28*Assumptions!$F$38)</f>
        <v>26.325579545454616</v>
      </c>
      <c r="AK28" s="66">
        <f>+AK29*0.95</f>
        <v>200.4972331460674</v>
      </c>
      <c r="AL28" s="67">
        <f t="shared" ref="AL28:AP31" si="10">+(AL$26*$AK28)-$AP$13-$AP$17</f>
        <v>-43.101280642474528</v>
      </c>
      <c r="AM28" s="68">
        <f t="shared" si="10"/>
        <v>-31.071446653710488</v>
      </c>
      <c r="AN28" s="135">
        <f t="shared" si="10"/>
        <v>-0.99686168180035395</v>
      </c>
      <c r="AO28" s="68">
        <f t="shared" si="10"/>
        <v>9.0279999755029934</v>
      </c>
      <c r="AP28" s="69">
        <f t="shared" si="10"/>
        <v>29.077723290109745</v>
      </c>
      <c r="AR28" s="66">
        <f>+AR29*0.95</f>
        <v>249.63896181384243</v>
      </c>
      <c r="AS28" s="67">
        <f t="shared" ref="AS28:AW31" si="11">+(AS$26*$AR28)-$AW$13-$AW$17</f>
        <v>-78.325731801909342</v>
      </c>
      <c r="AT28" s="135">
        <f t="shared" si="11"/>
        <v>-63.34739409307879</v>
      </c>
      <c r="AU28" s="135">
        <f t="shared" si="11"/>
        <v>-50.865446002386648</v>
      </c>
      <c r="AV28" s="68">
        <f t="shared" si="11"/>
        <v>-13.419601730310319</v>
      </c>
      <c r="AW28" s="69">
        <f t="shared" si="11"/>
        <v>11.544294451073938</v>
      </c>
    </row>
    <row r="29" spans="2:49" ht="15.75" thickBot="1" x14ac:dyDescent="0.3">
      <c r="B29" s="81">
        <f>+G3</f>
        <v>40</v>
      </c>
      <c r="C29" s="67">
        <f t="shared" si="6"/>
        <v>31.632125000000016</v>
      </c>
      <c r="D29" s="133">
        <f t="shared" si="6"/>
        <v>50.632125000000016</v>
      </c>
      <c r="E29" s="137">
        <f t="shared" si="6"/>
        <v>69.632125000000016</v>
      </c>
      <c r="F29" s="134">
        <f t="shared" si="6"/>
        <v>88.632125000000016</v>
      </c>
      <c r="G29" s="69">
        <f t="shared" si="6"/>
        <v>107.63212500000007</v>
      </c>
      <c r="I29" s="81">
        <f>+N3</f>
        <v>35</v>
      </c>
      <c r="J29" s="67">
        <f t="shared" si="7"/>
        <v>17.661905000000004</v>
      </c>
      <c r="K29" s="133">
        <f t="shared" si="7"/>
        <v>34.286905000000004</v>
      </c>
      <c r="L29" s="137">
        <f t="shared" si="7"/>
        <v>50.911905000000004</v>
      </c>
      <c r="M29" s="134">
        <f t="shared" si="7"/>
        <v>67.536905000000004</v>
      </c>
      <c r="N29" s="69">
        <f t="shared" si="7"/>
        <v>84.161905000000061</v>
      </c>
      <c r="P29" s="81">
        <f>+U3</f>
        <v>35</v>
      </c>
      <c r="Q29" s="67">
        <f t="shared" si="8"/>
        <v>-40.060594999999992</v>
      </c>
      <c r="R29" s="133">
        <f t="shared" si="8"/>
        <v>-29.669969999999992</v>
      </c>
      <c r="S29" s="137">
        <f t="shared" si="8"/>
        <v>-19.279344999999992</v>
      </c>
      <c r="T29" s="134">
        <f t="shared" si="8"/>
        <v>-8.8887199999999922</v>
      </c>
      <c r="U29" s="69">
        <f t="shared" si="8"/>
        <v>1.5019050000000078</v>
      </c>
      <c r="W29" s="81">
        <f>+AB4</f>
        <v>229.76666666666668</v>
      </c>
      <c r="X29" s="67">
        <f t="shared" si="9"/>
        <v>-158.91641666666663</v>
      </c>
      <c r="Y29" s="133">
        <f t="shared" si="9"/>
        <v>-125.60024999999996</v>
      </c>
      <c r="Z29" s="137">
        <f t="shared" si="9"/>
        <v>-110.66541666666663</v>
      </c>
      <c r="AA29" s="134">
        <f t="shared" si="9"/>
        <v>-99.177083333333314</v>
      </c>
      <c r="AB29" s="69">
        <f t="shared" si="9"/>
        <v>-76.200416666666626</v>
      </c>
      <c r="AD29" s="265">
        <f>+B29*60/0.4/2200*Assumptions!$F$40</f>
        <v>2.0727272727272728</v>
      </c>
      <c r="AE29" s="143">
        <f>+(AE$26*$AD29-$AI$11-$AI$17-$AD29*Assumptions!$F$38)</f>
        <v>-16.393329545454506</v>
      </c>
      <c r="AF29" s="149">
        <f>+(AF$26*$AD29-$AI$11-$AI$17-$AD29*Assumptions!$F$38)</f>
        <v>2.2612159090909216</v>
      </c>
      <c r="AG29" s="137">
        <f>+(AG$26*$AD29-$AI$11-$AI$17-$AD29*Assumptions!$F$38)</f>
        <v>20.915761363636406</v>
      </c>
      <c r="AH29" s="151">
        <f>+(AH$26*$AD29-$AI$11-$AI$17-$AD29*Assumptions!$F$38)</f>
        <v>39.57030681818182</v>
      </c>
      <c r="AI29" s="145">
        <f>+(AI$26*$AD29-$AI$11-$AI$17-$AD29*Assumptions!$F$38)</f>
        <v>58.224852272727361</v>
      </c>
      <c r="AK29" s="81">
        <f>+AP4</f>
        <v>211.0497191011236</v>
      </c>
      <c r="AL29" s="67">
        <f t="shared" si="10"/>
        <v>-38.458186822249807</v>
      </c>
      <c r="AM29" s="133">
        <f t="shared" si="10"/>
        <v>-25.795203676182389</v>
      </c>
      <c r="AN29" s="137">
        <f t="shared" si="10"/>
        <v>5.8622541889861708</v>
      </c>
      <c r="AO29" s="134">
        <f t="shared" si="10"/>
        <v>16.414740144042341</v>
      </c>
      <c r="AP29" s="69">
        <f t="shared" si="10"/>
        <v>37.519712054154709</v>
      </c>
      <c r="AR29" s="81">
        <f>+AW4</f>
        <v>262.77785454088678</v>
      </c>
      <c r="AS29" s="138">
        <f t="shared" si="11"/>
        <v>-72.544619002009824</v>
      </c>
      <c r="AT29" s="139">
        <f t="shared" si="11"/>
        <v>-56.777947729556615</v>
      </c>
      <c r="AU29" s="137">
        <f t="shared" si="11"/>
        <v>-43.639055002512265</v>
      </c>
      <c r="AV29" s="134">
        <f t="shared" si="11"/>
        <v>-4.222376821379271</v>
      </c>
      <c r="AW29" s="69">
        <f t="shared" si="11"/>
        <v>22.05540863270943</v>
      </c>
    </row>
    <row r="30" spans="2:49" x14ac:dyDescent="0.25">
      <c r="B30" s="66">
        <f>+B29*1.1</f>
        <v>44</v>
      </c>
      <c r="C30" s="67">
        <f t="shared" si="6"/>
        <v>65.832125000000062</v>
      </c>
      <c r="D30" s="68">
        <f t="shared" si="6"/>
        <v>86.732125000000039</v>
      </c>
      <c r="E30" s="136">
        <f t="shared" si="6"/>
        <v>107.63212500000002</v>
      </c>
      <c r="F30" s="68">
        <f t="shared" si="6"/>
        <v>128.53212500000001</v>
      </c>
      <c r="G30" s="69">
        <f t="shared" si="6"/>
        <v>149.4321250000001</v>
      </c>
      <c r="I30" s="66">
        <f>+I29*1.1</f>
        <v>38.5</v>
      </c>
      <c r="J30" s="67">
        <f t="shared" si="7"/>
        <v>47.586905000000016</v>
      </c>
      <c r="K30" s="68">
        <f t="shared" si="7"/>
        <v>65.874405000000039</v>
      </c>
      <c r="L30" s="136">
        <f t="shared" si="7"/>
        <v>84.161905000000004</v>
      </c>
      <c r="M30" s="68">
        <f t="shared" si="7"/>
        <v>102.44940499999997</v>
      </c>
      <c r="N30" s="69">
        <f t="shared" si="7"/>
        <v>120.73690500000005</v>
      </c>
      <c r="P30" s="66">
        <f>+P29*1.1</f>
        <v>38.5</v>
      </c>
      <c r="Q30" s="67">
        <f t="shared" si="8"/>
        <v>-21.357469999999992</v>
      </c>
      <c r="R30" s="68">
        <f t="shared" si="8"/>
        <v>-9.9277824999999922</v>
      </c>
      <c r="S30" s="136">
        <f t="shared" si="8"/>
        <v>1.5019050000000078</v>
      </c>
      <c r="T30" s="68">
        <f t="shared" si="8"/>
        <v>12.931592500000008</v>
      </c>
      <c r="U30" s="69">
        <f t="shared" si="8"/>
        <v>24.361280000000008</v>
      </c>
      <c r="W30" s="66">
        <f>+W29*1.05</f>
        <v>241.25500000000002</v>
      </c>
      <c r="X30" s="67">
        <f t="shared" si="9"/>
        <v>-153.86154999999997</v>
      </c>
      <c r="Y30" s="68">
        <f t="shared" si="9"/>
        <v>-118.87957499999996</v>
      </c>
      <c r="Z30" s="136">
        <f t="shared" si="9"/>
        <v>-103.19799999999998</v>
      </c>
      <c r="AA30" s="68">
        <f t="shared" si="9"/>
        <v>-91.135249999999985</v>
      </c>
      <c r="AB30" s="69">
        <f t="shared" si="9"/>
        <v>-67.009749999999968</v>
      </c>
      <c r="AD30" s="264">
        <f>+B30*60/0.4/2200*Assumptions!$F$40</f>
        <v>2.2800000000000002</v>
      </c>
      <c r="AE30" s="143">
        <f>+(AE$26*$AD30-$AI$11-$AI$17-$AD30*Assumptions!$F$38)</f>
        <v>8.0441250000000082</v>
      </c>
      <c r="AF30" s="144">
        <f>+(AF$26*$AD30-$AI$11-$AI$17-$AD30*Assumptions!$F$38)</f>
        <v>28.564125000000033</v>
      </c>
      <c r="AG30" s="153">
        <f>+(AG$26*$AD30-$AI$11-$AI$17-$AD30*Assumptions!$F$38)</f>
        <v>49.084125000000014</v>
      </c>
      <c r="AH30" s="144">
        <f>+(AH$26*$AD30-$AI$11-$AI$17-$AD30*Assumptions!$F$38)</f>
        <v>69.604125000000053</v>
      </c>
      <c r="AI30" s="145">
        <f>+(AI$26*$AD30-$AI$11-$AI$17-$AD30*Assumptions!$F$38)</f>
        <v>90.124125000000092</v>
      </c>
      <c r="AK30" s="66">
        <f>+AK29*1.05</f>
        <v>221.6022050561798</v>
      </c>
      <c r="AL30" s="67">
        <f t="shared" si="10"/>
        <v>-33.815093002025073</v>
      </c>
      <c r="AM30" s="68">
        <f t="shared" si="10"/>
        <v>-20.51896069865429</v>
      </c>
      <c r="AN30" s="136">
        <f t="shared" si="10"/>
        <v>12.721370059772696</v>
      </c>
      <c r="AO30" s="68">
        <f t="shared" si="10"/>
        <v>23.80148031258166</v>
      </c>
      <c r="AP30" s="69">
        <f t="shared" si="10"/>
        <v>45.961700818199674</v>
      </c>
      <c r="AR30" s="66">
        <f>+AR29*1.05</f>
        <v>275.91674726793116</v>
      </c>
      <c r="AS30" s="67">
        <f t="shared" si="11"/>
        <v>-66.763506202110293</v>
      </c>
      <c r="AT30" s="136">
        <f t="shared" si="11"/>
        <v>-50.208501366034426</v>
      </c>
      <c r="AU30" s="136">
        <f t="shared" si="11"/>
        <v>-36.412664002637854</v>
      </c>
      <c r="AV30" s="68">
        <f t="shared" si="11"/>
        <v>4.9748480875518055</v>
      </c>
      <c r="AW30" s="69">
        <f t="shared" si="11"/>
        <v>32.566522814344921</v>
      </c>
    </row>
    <row r="31" spans="2:49" ht="15.75" thickBot="1" x14ac:dyDescent="0.3">
      <c r="B31" s="70">
        <f>+B29*1.2</f>
        <v>48</v>
      </c>
      <c r="C31" s="71">
        <f t="shared" si="6"/>
        <v>100.03212500000005</v>
      </c>
      <c r="D31" s="72">
        <f t="shared" si="6"/>
        <v>122.83212500000006</v>
      </c>
      <c r="E31" s="72">
        <f t="shared" si="6"/>
        <v>145.63212500000003</v>
      </c>
      <c r="F31" s="72">
        <f t="shared" si="6"/>
        <v>168.43212499999998</v>
      </c>
      <c r="G31" s="73">
        <f t="shared" si="6"/>
        <v>191.23212500000005</v>
      </c>
      <c r="I31" s="70">
        <f>+I29*1.2</f>
        <v>42</v>
      </c>
      <c r="J31" s="71">
        <f t="shared" si="7"/>
        <v>77.511905000000027</v>
      </c>
      <c r="K31" s="72">
        <f t="shared" si="7"/>
        <v>97.461905000000016</v>
      </c>
      <c r="L31" s="72">
        <f t="shared" si="7"/>
        <v>117.411905</v>
      </c>
      <c r="M31" s="72">
        <f t="shared" si="7"/>
        <v>137.36190499999998</v>
      </c>
      <c r="N31" s="73">
        <f t="shared" si="7"/>
        <v>157.31190500000002</v>
      </c>
      <c r="P31" s="70">
        <f>+P29*1.2</f>
        <v>42</v>
      </c>
      <c r="Q31" s="71">
        <f t="shared" si="8"/>
        <v>-2.6543449999999922</v>
      </c>
      <c r="R31" s="72">
        <f t="shared" si="8"/>
        <v>9.8144050000000078</v>
      </c>
      <c r="S31" s="72">
        <f t="shared" si="8"/>
        <v>22.283155000000008</v>
      </c>
      <c r="T31" s="72">
        <f t="shared" si="8"/>
        <v>34.751905000000008</v>
      </c>
      <c r="U31" s="73">
        <f t="shared" si="8"/>
        <v>47.220655000000008</v>
      </c>
      <c r="W31" s="70">
        <f>+W30*1.1</f>
        <v>265.38050000000004</v>
      </c>
      <c r="X31" s="71">
        <f t="shared" si="9"/>
        <v>-143.24632999999997</v>
      </c>
      <c r="Y31" s="72">
        <f t="shared" si="9"/>
        <v>-104.76615749999993</v>
      </c>
      <c r="Z31" s="72">
        <f t="shared" si="9"/>
        <v>-87.516424999999941</v>
      </c>
      <c r="AA31" s="72">
        <f t="shared" si="9"/>
        <v>-74.247399999999971</v>
      </c>
      <c r="AB31" s="73">
        <f t="shared" si="9"/>
        <v>-47.709349999999944</v>
      </c>
      <c r="AD31" s="266">
        <f>+B31*60/0.4/2200*Assumptions!$F$40</f>
        <v>2.4872727272727273</v>
      </c>
      <c r="AE31" s="146">
        <f>+(AE$26*$AD31-$AI$11-$AI$17-$AD31*Assumptions!$F$38)</f>
        <v>32.481579545454537</v>
      </c>
      <c r="AF31" s="147">
        <f>+(AF$26*$AD31-$AI$11-$AI$17-$AD31*Assumptions!$F$38)</f>
        <v>54.867034090909073</v>
      </c>
      <c r="AG31" s="147">
        <f>+(AG$26*$AD31-$AI$11-$AI$17-$AD31*Assumptions!$F$38)</f>
        <v>77.252488636363609</v>
      </c>
      <c r="AH31" s="147">
        <f>+(AH$26*$AD31-$AI$11-$AI$17-$AD31*Assumptions!$F$38)</f>
        <v>99.637943181818201</v>
      </c>
      <c r="AI31" s="148">
        <f>+(AI$26*$AD31-$AI$11-$AI$17-$AD31*Assumptions!$F$38)</f>
        <v>122.02339772727279</v>
      </c>
      <c r="AK31" s="70">
        <f>+AK30*1.1</f>
        <v>243.76242556179778</v>
      </c>
      <c r="AL31" s="71">
        <f t="shared" si="10"/>
        <v>-24.064595979553168</v>
      </c>
      <c r="AM31" s="72">
        <f t="shared" si="10"/>
        <v>-9.43885044584529</v>
      </c>
      <c r="AN31" s="72">
        <f t="shared" si="10"/>
        <v>27.12551338842438</v>
      </c>
      <c r="AO31" s="72">
        <f t="shared" si="10"/>
        <v>39.313634666514261</v>
      </c>
      <c r="AP31" s="73">
        <f t="shared" si="10"/>
        <v>63.689877222694051</v>
      </c>
      <c r="AR31" s="70">
        <f>+AR30*1.1</f>
        <v>303.5084219947243</v>
      </c>
      <c r="AS31" s="71">
        <f t="shared" si="11"/>
        <v>-54.623169322321303</v>
      </c>
      <c r="AT31" s="72">
        <f t="shared" si="11"/>
        <v>-36.412664002637854</v>
      </c>
      <c r="AU31" s="72">
        <f t="shared" si="11"/>
        <v>-21.237242902901613</v>
      </c>
      <c r="AV31" s="72">
        <f t="shared" si="11"/>
        <v>24.289020396306995</v>
      </c>
      <c r="AW31" s="73">
        <f t="shared" si="11"/>
        <v>54.639862595779448</v>
      </c>
    </row>
    <row r="32" spans="2:49" ht="16.5" thickTop="1" thickBot="1" x14ac:dyDescent="0.3"/>
    <row r="33" spans="2:49" ht="16.5" thickTop="1" thickBot="1" x14ac:dyDescent="0.3">
      <c r="B33" s="352" t="s">
        <v>113</v>
      </c>
      <c r="C33" s="353"/>
      <c r="D33" s="353"/>
      <c r="E33" s="353"/>
      <c r="F33" s="353"/>
      <c r="G33" s="354"/>
      <c r="I33" s="352" t="s">
        <v>113</v>
      </c>
      <c r="J33" s="353"/>
      <c r="K33" s="353"/>
      <c r="L33" s="353"/>
      <c r="M33" s="353"/>
      <c r="N33" s="354"/>
      <c r="P33" s="352" t="s">
        <v>113</v>
      </c>
      <c r="Q33" s="353"/>
      <c r="R33" s="353"/>
      <c r="S33" s="353"/>
      <c r="T33" s="353"/>
      <c r="U33" s="354"/>
      <c r="W33" s="352" t="s">
        <v>113</v>
      </c>
      <c r="X33" s="353"/>
      <c r="Y33" s="353"/>
      <c r="Z33" s="353"/>
      <c r="AA33" s="353"/>
      <c r="AB33" s="354"/>
      <c r="AD33" s="352" t="s">
        <v>113</v>
      </c>
      <c r="AE33" s="353"/>
      <c r="AF33" s="353"/>
      <c r="AG33" s="353"/>
      <c r="AH33" s="353"/>
      <c r="AI33" s="354"/>
      <c r="AK33" s="352" t="s">
        <v>113</v>
      </c>
      <c r="AL33" s="353"/>
      <c r="AM33" s="353"/>
      <c r="AN33" s="353"/>
      <c r="AO33" s="353"/>
      <c r="AP33" s="354"/>
      <c r="AR33" s="352" t="s">
        <v>113</v>
      </c>
      <c r="AS33" s="353"/>
      <c r="AT33" s="353"/>
      <c r="AU33" s="353"/>
      <c r="AV33" s="353"/>
      <c r="AW33" s="354"/>
    </row>
    <row r="34" spans="2:49" ht="15.75" thickTop="1" x14ac:dyDescent="0.25">
      <c r="B34" s="60" t="s">
        <v>58</v>
      </c>
      <c r="C34" s="355" t="s">
        <v>114</v>
      </c>
      <c r="D34" s="356"/>
      <c r="E34" s="356" t="s">
        <v>60</v>
      </c>
      <c r="F34" s="356"/>
      <c r="G34" s="357"/>
      <c r="I34" s="60" t="s">
        <v>58</v>
      </c>
      <c r="J34" s="355" t="s">
        <v>114</v>
      </c>
      <c r="K34" s="356"/>
      <c r="L34" s="356" t="s">
        <v>60</v>
      </c>
      <c r="M34" s="356"/>
      <c r="N34" s="357"/>
      <c r="P34" s="60" t="s">
        <v>58</v>
      </c>
      <c r="Q34" s="355" t="s">
        <v>114</v>
      </c>
      <c r="R34" s="356"/>
      <c r="S34" s="356" t="s">
        <v>60</v>
      </c>
      <c r="T34" s="356"/>
      <c r="U34" s="357"/>
      <c r="W34" s="60" t="s">
        <v>109</v>
      </c>
      <c r="X34" s="355" t="s">
        <v>107</v>
      </c>
      <c r="Y34" s="356"/>
      <c r="Z34" s="356"/>
      <c r="AA34" s="356"/>
      <c r="AB34" s="357"/>
      <c r="AD34" s="60" t="s">
        <v>58</v>
      </c>
      <c r="AE34" s="355" t="str">
        <f>+AE25</f>
        <v>Prices ($/ton)</v>
      </c>
      <c r="AF34" s="356"/>
      <c r="AG34" s="356" t="s">
        <v>60</v>
      </c>
      <c r="AH34" s="356"/>
      <c r="AI34" s="357"/>
      <c r="AK34" s="60" t="s">
        <v>109</v>
      </c>
      <c r="AL34" s="361" t="s">
        <v>107</v>
      </c>
      <c r="AM34" s="362"/>
      <c r="AN34" s="362"/>
      <c r="AO34" s="362"/>
      <c r="AP34" s="363"/>
      <c r="AR34" s="60" t="s">
        <v>109</v>
      </c>
      <c r="AS34" s="355" t="s">
        <v>107</v>
      </c>
      <c r="AT34" s="356"/>
      <c r="AU34" s="356"/>
      <c r="AV34" s="356"/>
      <c r="AW34" s="357"/>
    </row>
    <row r="35" spans="2:49" ht="15.75" thickBot="1" x14ac:dyDescent="0.3">
      <c r="B35" s="61"/>
      <c r="C35" s="118">
        <f>+E35*0.9</f>
        <v>8.5500000000000007</v>
      </c>
      <c r="D35" s="119">
        <f>+E35*0.95</f>
        <v>9.0250000000000004</v>
      </c>
      <c r="E35" s="120">
        <f>+E26</f>
        <v>9.5</v>
      </c>
      <c r="F35" s="119">
        <f>+E35*1.05</f>
        <v>9.9749999999999996</v>
      </c>
      <c r="G35" s="121">
        <f>+E35*1.1</f>
        <v>10.450000000000001</v>
      </c>
      <c r="I35" s="61"/>
      <c r="J35" s="118">
        <f>+L35*0.9</f>
        <v>8.5500000000000007</v>
      </c>
      <c r="K35" s="119">
        <f>+L35*0.95</f>
        <v>9.0250000000000004</v>
      </c>
      <c r="L35" s="120">
        <f>+L26</f>
        <v>9.5</v>
      </c>
      <c r="M35" s="119">
        <f>+L35*1.05</f>
        <v>9.9749999999999996</v>
      </c>
      <c r="N35" s="121">
        <f>+L35*1.1</f>
        <v>10.450000000000001</v>
      </c>
      <c r="P35" s="61"/>
      <c r="Q35" s="118">
        <f>+S35*0.9</f>
        <v>8.5500000000000007</v>
      </c>
      <c r="R35" s="119">
        <f>+S35*0.95</f>
        <v>9.0250000000000004</v>
      </c>
      <c r="S35" s="120">
        <f>+S26</f>
        <v>9.5</v>
      </c>
      <c r="T35" s="119">
        <f>+S35*1.05</f>
        <v>9.9749999999999996</v>
      </c>
      <c r="U35" s="121">
        <f>+S35*1.1</f>
        <v>10.450000000000001</v>
      </c>
      <c r="W35" s="61" t="s">
        <v>8</v>
      </c>
      <c r="X35" s="118">
        <f>+Z35*0.8</f>
        <v>0.52</v>
      </c>
      <c r="Y35" s="119">
        <f>+Z35*0.9</f>
        <v>0.58500000000000008</v>
      </c>
      <c r="Z35" s="158">
        <f>+Z26</f>
        <v>0.65</v>
      </c>
      <c r="AA35" s="119">
        <f>+AA26</f>
        <v>0.7</v>
      </c>
      <c r="AB35" s="121">
        <f>+AB26</f>
        <v>0.8</v>
      </c>
      <c r="AD35" s="61" t="str">
        <f>+AD26</f>
        <v>Ton/acre</v>
      </c>
      <c r="AE35" s="283">
        <f>+AG35*0.9</f>
        <v>162</v>
      </c>
      <c r="AF35" s="284">
        <f>+AG35*0.95</f>
        <v>171</v>
      </c>
      <c r="AG35" s="285">
        <f>+AG26</f>
        <v>180</v>
      </c>
      <c r="AH35" s="284">
        <f>+AG35*1.05</f>
        <v>189</v>
      </c>
      <c r="AI35" s="286">
        <f>+AG35*1.1</f>
        <v>198.00000000000003</v>
      </c>
      <c r="AK35" s="61" t="s">
        <v>8</v>
      </c>
      <c r="AL35" s="118">
        <f>+AL26</f>
        <v>0.44</v>
      </c>
      <c r="AM35" s="119">
        <f>+AN35*0.9</f>
        <v>0.58500000000000008</v>
      </c>
      <c r="AN35" s="158">
        <f>+AN26</f>
        <v>0.65</v>
      </c>
      <c r="AO35" s="119">
        <f>+AO26</f>
        <v>0.7</v>
      </c>
      <c r="AP35" s="121">
        <f>+AP26</f>
        <v>0.8</v>
      </c>
      <c r="AR35" s="61" t="s">
        <v>8</v>
      </c>
      <c r="AS35" s="118">
        <f>+AS26</f>
        <v>0.44</v>
      </c>
      <c r="AT35" s="119">
        <f>+AU35*0.9</f>
        <v>0.49500000000000005</v>
      </c>
      <c r="AU35" s="120">
        <f>+AU26</f>
        <v>0.55000000000000004</v>
      </c>
      <c r="AV35" s="119">
        <f>+AV26</f>
        <v>0.7</v>
      </c>
      <c r="AW35" s="121">
        <f>+AW26</f>
        <v>0.8</v>
      </c>
    </row>
    <row r="36" spans="2:49" ht="15.75" thickTop="1" x14ac:dyDescent="0.25">
      <c r="B36" s="114">
        <f>+B38*0.8</f>
        <v>32</v>
      </c>
      <c r="C36" s="140">
        <f>+(C$26*$B36-$G$13-$G$17)+'Wheat Grain'!$G$37+'Wheat Grain'!$G$42</f>
        <v>-12.107874999999961</v>
      </c>
      <c r="D36" s="141">
        <f>+(D$26*$B36-$G$13-$G$17)+'Wheat Grain'!$G$37+'Wheat Grain'!$G$42</f>
        <v>3.0921250000000278</v>
      </c>
      <c r="E36" s="141">
        <f>+(E$26*$B36-$G$13-$G$17)+'Wheat Grain'!$G$37+'Wheat Grain'!$G$42</f>
        <v>18.292125000000016</v>
      </c>
      <c r="F36" s="141">
        <f>+(F$26*$B36-$G$13-$G$17)+'Wheat Grain'!$G$37+'Wheat Grain'!$G$42</f>
        <v>33.492125000000001</v>
      </c>
      <c r="G36" s="142">
        <f>+(G$26*$B36-$G$13-$G$17)+'Wheat Grain'!$G$37+'Wheat Grain'!$G$42</f>
        <v>48.692125000000047</v>
      </c>
      <c r="I36" s="114">
        <f>+I38*0.8</f>
        <v>28</v>
      </c>
      <c r="J36" s="140">
        <f>+(J$26*$I36+$N$8-$N$13-$N$17)+'Wheat Dual  ~700Lb'!$G$37+'Wheat Dual  ~700Lb'!$G$42</f>
        <v>-17.528094999999961</v>
      </c>
      <c r="K36" s="141">
        <f>+(K$26*$I36+$N$8-$N$13-$N$17)+'Wheat Dual  ~700Lb'!$G$37+'Wheat Dual  ~700Lb'!$G$42</f>
        <v>-4.22809499999995</v>
      </c>
      <c r="L36" s="141">
        <f>+(L$26*$I36+$N$8-$N$13-$N$17)+'Wheat Dual  ~700Lb'!$G$37+'Wheat Dual  ~700Lb'!$G$42</f>
        <v>9.0719050000000045</v>
      </c>
      <c r="M36" s="141">
        <f>+(M$26*$I36+$N$8-$N$13-$N$17)+'Wheat Dual  ~700Lb'!$G$37+'Wheat Dual  ~700Lb'!$G$42</f>
        <v>22.371905000000016</v>
      </c>
      <c r="N36" s="142">
        <f>+(N$26*$I36+$N$8-$N$13-$N$17)+'Wheat Dual  ~700Lb'!$G$37+'Wheat Dual  ~700Lb'!$G$42</f>
        <v>35.671905000000024</v>
      </c>
      <c r="P36" s="114">
        <f>+P38*0.8</f>
        <v>28</v>
      </c>
      <c r="Q36" s="140">
        <f>+(Q$26*$P36*$U$6+$U$8-$U$13-$U$17)+'Wheat Dual ~800Lb'!$G$37+'Wheat Dual ~800Lb'!$G$42</f>
        <v>-52.806844999999967</v>
      </c>
      <c r="R36" s="141">
        <f>+(R$26*$P36*$U$6+$U$8-$U$13-$U$17)+'Wheat Dual ~800Lb'!$G$37+'Wheat Dual ~800Lb'!$G$42</f>
        <v>-44.494344999999996</v>
      </c>
      <c r="S36" s="141">
        <f>+(S$26*$P36*$U$6+$U$8-$U$13-$U$17)+'Wheat Dual ~800Lb'!$G$37+'Wheat Dual ~800Lb'!$G$42</f>
        <v>-36.181844999999996</v>
      </c>
      <c r="T36" s="141">
        <f>+(T$26*$P36*$U$6+$U$8-$U$13-$U$17)+'Wheat Dual ~800Lb'!$G$37+'Wheat Dual ~800Lb'!$G$42</f>
        <v>-27.869344999999992</v>
      </c>
      <c r="U36" s="142">
        <f>+(U$26*$P36*$U$6+$U$8-$U$13-$U$17)+'Wheat Dual ~800Lb'!$G$37+'Wheat Dual ~800Lb'!$G$42</f>
        <v>-19.556844999999992</v>
      </c>
      <c r="W36" s="114">
        <f>+W38*0.9</f>
        <v>206.79000000000002</v>
      </c>
      <c r="X36" s="140">
        <f>+(X$26*$W36)-$AB$13-$AB$17+'Wheat Graze Out'!$G$37+'Wheat Graze Out'!$G$42</f>
        <v>-157.82614999999998</v>
      </c>
      <c r="Y36" s="141">
        <f>+(Y$26*$W36)-$AB$13-$AB$17+'Wheat Graze Out'!$G$37+'Wheat Graze Out'!$G$42</f>
        <v>-127.84159999999996</v>
      </c>
      <c r="Z36" s="141">
        <f>+(Z$26*$W36)-$AB$13-$AB$17+'Wheat Graze Out'!$G$37+'Wheat Graze Out'!$G$42</f>
        <v>-114.40024999999996</v>
      </c>
      <c r="AA36" s="141">
        <f>+(AA$26*$W36)-$AB$13-$AB$17+'Wheat Graze Out'!$G$37+'Wheat Graze Out'!$G$42</f>
        <v>-104.06074999999997</v>
      </c>
      <c r="AB36" s="142">
        <f>+(AB$26*$W36)-$AB$13-$AB$17+'Wheat Graze Out'!$G$37+'Wheat Graze Out'!$G$42</f>
        <v>-83.381749999999968</v>
      </c>
      <c r="AD36" s="279">
        <f>+AD38*0.8</f>
        <v>1.6581818181818182</v>
      </c>
      <c r="AE36" s="140">
        <f>+(AE$26*$AD36-$AI$11-$AI$17)+'Wheat Grain'!$G$37+'Wheat Grain'!$G$42-$AD36*Assumptions!$F$38</f>
        <v>-40.608238636363637</v>
      </c>
      <c r="AF36" s="141">
        <f>+(AF$26*$AD36-$AI$11-$AI$17)+'Wheat Grain'!$G$37+'Wheat Grain'!$G$42-$AD36*Assumptions!$F$38</f>
        <v>-25.684602272727261</v>
      </c>
      <c r="AG36" s="141">
        <f>+(AG$26*$AD36-$AI$11-$AI$17)+'Wheat Grain'!$G$37+'Wheat Grain'!$G$42-$AD36*Assumptions!$F$38</f>
        <v>-10.760965909090885</v>
      </c>
      <c r="AH36" s="141">
        <f>+(AH$26*$AD36-$AI$11-$AI$17)+'Wheat Grain'!$G$37+'Wheat Grain'!$G$42-$AD36*Assumptions!$F$38</f>
        <v>4.1626704545454345</v>
      </c>
      <c r="AI36" s="142">
        <f>+(AI$26*$AD36-$AI$11-$AI$17)+'Wheat Grain'!$G$37+'Wheat Grain'!$G$42-$AD36*Assumptions!$F$38</f>
        <v>19.086306818181868</v>
      </c>
      <c r="AK36" s="114">
        <f>+AK38*0.9</f>
        <v>189.94474719101123</v>
      </c>
      <c r="AL36" s="140">
        <f t="shared" ref="AL36:AP40" si="12">+(AL$26*$AK36)-$AP$13-$AP$17</f>
        <v>-47.744374462699248</v>
      </c>
      <c r="AM36" s="141">
        <f t="shared" si="12"/>
        <v>-36.347689631238573</v>
      </c>
      <c r="AN36" s="141">
        <f t="shared" si="12"/>
        <v>-7.8559775525868787</v>
      </c>
      <c r="AO36" s="141">
        <f t="shared" si="12"/>
        <v>1.6412598069636744</v>
      </c>
      <c r="AP36" s="142">
        <f t="shared" si="12"/>
        <v>20.635734526064809</v>
      </c>
      <c r="AR36" s="114">
        <f>+AR38*0.9</f>
        <v>236.50006908679811</v>
      </c>
      <c r="AS36" s="140">
        <f>+'Wheat Farm Margins'!AL36</f>
        <v>-69.166844601808833</v>
      </c>
      <c r="AT36" s="141">
        <f>+'Wheat Farm Margins'!AM36</f>
        <v>-54.976840456600947</v>
      </c>
      <c r="AU36" s="141">
        <f>+'Wheat Farm Margins'!AN36</f>
        <v>-43.151837002261026</v>
      </c>
      <c r="AV36" s="141">
        <f>+'Wheat Farm Margins'!AO36</f>
        <v>-7.6768266392413391</v>
      </c>
      <c r="AW36" s="142">
        <f>+'Wheat Farm Margins'!AP36</f>
        <v>15.973180269438503</v>
      </c>
    </row>
    <row r="37" spans="2:49" ht="15.75" thickBot="1" x14ac:dyDescent="0.3">
      <c r="B37" s="115">
        <f>+B38*0.9</f>
        <v>36</v>
      </c>
      <c r="C37" s="143">
        <f>+(C$26*$B37-$G$13-$G$17)+'Wheat Grain'!$G$37+'Wheat Grain'!$G$42</f>
        <v>22.092125000000028</v>
      </c>
      <c r="D37" s="144">
        <f>+(D$26*$B37-$G$13-$G$17)+'Wheat Grain'!$G$37+'Wheat Grain'!$G$42</f>
        <v>39.192125000000047</v>
      </c>
      <c r="E37" s="152">
        <f>+(E$26*$B37-$G$13-$G$17)+'Wheat Grain'!$G$37+'Wheat Grain'!$G$42</f>
        <v>56.292125000000013</v>
      </c>
      <c r="F37" s="144">
        <f>+(F$26*$B37-$G$13-$G$17)+'Wheat Grain'!$G$37+'Wheat Grain'!$G$42</f>
        <v>73.392124999999979</v>
      </c>
      <c r="G37" s="145">
        <f>+(G$26*$B37-$G$13-$G$17)+'Wheat Grain'!$G$37+'Wheat Grain'!$G$42</f>
        <v>90.492125000000058</v>
      </c>
      <c r="I37" s="115">
        <f>+I38*0.9</f>
        <v>31.5</v>
      </c>
      <c r="J37" s="143">
        <f>+(J$26*$I37+$N$8-$N$13-$N$17)+'Wheat Dual  ~700Lb'!$G$37+'Wheat Dual  ~700Lb'!$G$42</f>
        <v>12.39690500000005</v>
      </c>
      <c r="K37" s="144">
        <f>+(K$26*$I37+$N$8-$N$13-$N$17)+'Wheat Dual  ~700Lb'!$G$37+'Wheat Dual  ~700Lb'!$G$42</f>
        <v>27.359405000000027</v>
      </c>
      <c r="L37" s="152">
        <f>+(L$26*$I37+$N$8-$N$13-$N$17)+'Wheat Dual  ~700Lb'!$G$37+'Wheat Dual  ~700Lb'!$G$42</f>
        <v>42.321905000000001</v>
      </c>
      <c r="M37" s="144">
        <f>+(M$26*$I37+$N$8-$N$13-$N$17)+'Wheat Dual  ~700Lb'!$G$37+'Wheat Dual  ~700Lb'!$G$42</f>
        <v>57.284404999999978</v>
      </c>
      <c r="N37" s="145">
        <f>+(N$26*$I37+$N$8-$N$13-$N$17)+'Wheat Dual  ~700Lb'!$G$37+'Wheat Dual  ~700Lb'!$G$42</f>
        <v>72.246905000000012</v>
      </c>
      <c r="P37" s="115">
        <f>+P38*0.9</f>
        <v>31.5</v>
      </c>
      <c r="Q37" s="143">
        <f>+(Q$26*$P37*$U$6+$U$8-$U$13-$U$17)+'Wheat Dual ~800Lb'!$G$37+'Wheat Dual ~800Lb'!$G$42</f>
        <v>-34.103719999999996</v>
      </c>
      <c r="R37" s="144">
        <f>+(R$26*$P37*$U$6+$U$8-$U$13-$U$17)+'Wheat Dual ~800Lb'!$G$37+'Wheat Dual ~800Lb'!$G$42</f>
        <v>-24.752157499999992</v>
      </c>
      <c r="S37" s="152">
        <f>+(S$26*$P37*$U$6+$U$8-$U$13-$U$17)+'Wheat Dual ~800Lb'!$G$37+'Wheat Dual ~800Lb'!$G$42</f>
        <v>-15.400594999999992</v>
      </c>
      <c r="T37" s="144">
        <f>+(T$26*$P37*$U$6+$U$8-$U$13-$U$17)+'Wheat Dual ~800Lb'!$G$37+'Wheat Dual ~800Lb'!$G$42</f>
        <v>-6.049032499999992</v>
      </c>
      <c r="U37" s="145">
        <f>+(U$26*$P37*$U$6+$U$8-$U$13-$U$17)+'Wheat Dual ~800Lb'!$G$37+'Wheat Dual ~800Lb'!$G$42</f>
        <v>3.302530000000008</v>
      </c>
      <c r="W37" s="115">
        <f>+W38*0.95</f>
        <v>218.27833333333334</v>
      </c>
      <c r="X37" s="143">
        <f>+(X$26*$W37)-$AB$13-$AB$17+'Wheat Graze Out'!$G$37+'Wheat Graze Out'!$G$42</f>
        <v>-152.77128333333332</v>
      </c>
      <c r="Y37" s="152">
        <f>+(Y$26*$W37)-$AB$13-$AB$17+'Wheat Graze Out'!$G$37+'Wheat Graze Out'!$G$42</f>
        <v>-121.12092499999999</v>
      </c>
      <c r="Z37" s="152">
        <f>+(Z$26*$W37)-$AB$13-$AB$17+'Wheat Graze Out'!$G$37+'Wheat Graze Out'!$G$42</f>
        <v>-106.93283333333331</v>
      </c>
      <c r="AA37" s="144">
        <f>+(AA$26*$W37)-$AB$13-$AB$17+'Wheat Graze Out'!$G$37+'Wheat Graze Out'!$G$42</f>
        <v>-96.018916666666669</v>
      </c>
      <c r="AB37" s="145">
        <f>+(AB$26*$W37)-$AB$13-$AB$17+'Wheat Graze Out'!$G$37+'Wheat Graze Out'!$G$42</f>
        <v>-74.19108333333331</v>
      </c>
      <c r="AD37" s="280">
        <f>+AD38*0.9</f>
        <v>1.8654545454545455</v>
      </c>
      <c r="AE37" s="143">
        <f>+(AE$26*$AD37-$AI$11-$AI$17)+'Wheat Grain'!$G$37+'Wheat Grain'!$G$42-$AD37*Assumptions!$F$38</f>
        <v>-16.170784090909109</v>
      </c>
      <c r="AF37" s="144">
        <f>+(AF$26*$AD37-$AI$11-$AI$17)+'Wheat Grain'!$G$37+'Wheat Grain'!$G$42-$AD37*Assumptions!$F$38</f>
        <v>0.61830681818182143</v>
      </c>
      <c r="AG37" s="152">
        <f>+(AG$26*$AD37-$AI$11-$AI$17)+'Wheat Grain'!$G$37+'Wheat Grain'!$G$42-$AD37*Assumptions!$F$38</f>
        <v>17.407397727272752</v>
      </c>
      <c r="AH37" s="144">
        <f>+(AH$26*$AD37-$AI$11-$AI$17)+'Wheat Grain'!$G$37+'Wheat Grain'!$G$42-$AD37*Assumptions!$F$38</f>
        <v>34.196488636363625</v>
      </c>
      <c r="AI37" s="145">
        <f>+(AI$26*$AD37-$AI$11-$AI$17)+'Wheat Grain'!$G$37+'Wheat Grain'!$G$42-$AD37*Assumptions!$F$38</f>
        <v>50.985579545454627</v>
      </c>
      <c r="AK37" s="115">
        <f>+AK38*0.95</f>
        <v>200.4972331460674</v>
      </c>
      <c r="AL37" s="143">
        <f t="shared" si="12"/>
        <v>-43.101280642474528</v>
      </c>
      <c r="AM37" s="144">
        <f t="shared" si="12"/>
        <v>-31.071446653710488</v>
      </c>
      <c r="AN37" s="152">
        <f t="shared" si="12"/>
        <v>-0.99686168180035395</v>
      </c>
      <c r="AO37" s="144">
        <f t="shared" si="12"/>
        <v>9.0279999755029934</v>
      </c>
      <c r="AP37" s="145">
        <f t="shared" si="12"/>
        <v>29.077723290109745</v>
      </c>
      <c r="AR37" s="115">
        <f>+AR38*0.95</f>
        <v>249.63896181384243</v>
      </c>
      <c r="AS37" s="143">
        <f>+'Wheat Farm Margins'!AL37</f>
        <v>-63.385731801909337</v>
      </c>
      <c r="AT37" s="144">
        <f>+'Wheat Farm Margins'!AM37</f>
        <v>-48.407394093078786</v>
      </c>
      <c r="AU37" s="152">
        <f>+'Wheat Farm Margins'!AN37</f>
        <v>-35.925446002386643</v>
      </c>
      <c r="AV37" s="144">
        <f>+'Wheat Farm Margins'!AO37</f>
        <v>1.5203982696896805</v>
      </c>
      <c r="AW37" s="145">
        <f>+'Wheat Farm Margins'!AP37</f>
        <v>26.484294451073936</v>
      </c>
    </row>
    <row r="38" spans="2:49" ht="15.75" thickBot="1" x14ac:dyDescent="0.3">
      <c r="B38" s="116">
        <f>+B29</f>
        <v>40</v>
      </c>
      <c r="C38" s="143">
        <f>+(C$26*$B38-$G$13-$G$17)+'Wheat Grain'!$G$37+'Wheat Grain'!$G$42</f>
        <v>56.292125000000013</v>
      </c>
      <c r="D38" s="149">
        <f>+(D$26*$B38-$G$13-$G$17)+'Wheat Grain'!$G$37+'Wheat Grain'!$G$42</f>
        <v>75.292125000000013</v>
      </c>
      <c r="E38" s="137">
        <f>+(E$26*$B38-$G$13-$G$17)+'Wheat Grain'!$G$37+'Wheat Grain'!$G$42</f>
        <v>94.292125000000013</v>
      </c>
      <c r="F38" s="151">
        <f>+(F$26*$B38-$G$13-$G$17)+'Wheat Grain'!$G$37+'Wheat Grain'!$G$42</f>
        <v>113.29212500000001</v>
      </c>
      <c r="G38" s="145">
        <f>+(G$26*$B38-$G$13-$G$17)+'Wheat Grain'!$G$37+'Wheat Grain'!$G$42</f>
        <v>132.29212500000008</v>
      </c>
      <c r="I38" s="116">
        <f>+I29</f>
        <v>35</v>
      </c>
      <c r="J38" s="143">
        <f>+(J$26*$I38+$N$8-$N$13-$N$17)+'Wheat Dual  ~700Lb'!$G$37+'Wheat Dual  ~700Lb'!$G$42</f>
        <v>42.321905000000001</v>
      </c>
      <c r="K38" s="149">
        <f>+(K$26*$I38+$N$8-$N$13-$N$17)+'Wheat Dual  ~700Lb'!$G$37+'Wheat Dual  ~700Lb'!$G$42</f>
        <v>58.946905000000001</v>
      </c>
      <c r="L38" s="137">
        <f>+(L$26*$I38+$N$8-$N$13-$N$17)+'Wheat Dual  ~700Lb'!$G$37+'Wheat Dual  ~700Lb'!$G$42</f>
        <v>75.571905000000001</v>
      </c>
      <c r="M38" s="151">
        <f>+(M$26*$I38+$N$8-$N$13-$N$17)+'Wheat Dual  ~700Lb'!$G$37+'Wheat Dual  ~700Lb'!$G$42</f>
        <v>92.196905000000001</v>
      </c>
      <c r="N38" s="145">
        <f>+(N$26*$I38+$N$8-$N$13-$N$17)+'Wheat Dual  ~700Lb'!$G$37+'Wheat Dual  ~700Lb'!$G$42</f>
        <v>108.82190500000006</v>
      </c>
      <c r="P38" s="116">
        <f>+P29</f>
        <v>35</v>
      </c>
      <c r="Q38" s="143">
        <f>+(Q$26*$P38*$U$6+$U$8-$U$13-$U$17)+'Wheat Dual ~800Lb'!$G$37+'Wheat Dual ~800Lb'!$G$42</f>
        <v>-15.400594999999992</v>
      </c>
      <c r="R38" s="149">
        <f>+(R$26*$P38*$U$6+$U$8-$U$13-$U$17)+'Wheat Dual ~800Lb'!$G$37+'Wheat Dual ~800Lb'!$G$42</f>
        <v>-5.009969999999992</v>
      </c>
      <c r="S38" s="137">
        <f>+(S$26*$P38*$U$6+$U$8-$U$13-$U$17)+'Wheat Dual ~800Lb'!$G$37+'Wheat Dual ~800Lb'!$G$42</f>
        <v>5.380655000000008</v>
      </c>
      <c r="T38" s="151">
        <f>+(T$26*$P38*$U$6+$U$8-$U$13-$U$17)+'Wheat Dual ~800Lb'!$G$37+'Wheat Dual ~800Lb'!$G$42</f>
        <v>15.771280000000008</v>
      </c>
      <c r="U38" s="145">
        <f>+(U$26*$P38*$U$6+$U$8-$U$13-$U$17)+'Wheat Dual ~800Lb'!$G$37+'Wheat Dual ~800Lb'!$G$42</f>
        <v>26.161905000000008</v>
      </c>
      <c r="W38" s="116">
        <f>+W29</f>
        <v>229.76666666666668</v>
      </c>
      <c r="X38" s="150">
        <f>+(X$26*$W38)-$AB$13-$AB$17+'Wheat Graze Out'!$G$37+'Wheat Graze Out'!$G$42</f>
        <v>-147.71641666666665</v>
      </c>
      <c r="Y38" s="154">
        <f>+(Y$26*$W38)-$AB$13-$AB$17+'Wheat Graze Out'!$G$37+'Wheat Graze Out'!$G$42</f>
        <v>-114.40024999999996</v>
      </c>
      <c r="Z38" s="137">
        <f>+(Z$26*$W38)-$AB$13-$AB$17+'Wheat Graze Out'!$G$37+'Wheat Graze Out'!$G$42</f>
        <v>-99.465416666666627</v>
      </c>
      <c r="AA38" s="151">
        <f>+(AA$26*$W38)-$AB$13-$AB$17+'Wheat Graze Out'!$G$37+'Wheat Graze Out'!$G$42</f>
        <v>-87.977083333333312</v>
      </c>
      <c r="AB38" s="145">
        <f>+(AB$26*$W38)-$AB$13-$AB$17+'Wheat Graze Out'!$G$37+'Wheat Graze Out'!$G$42</f>
        <v>-65.000416666666624</v>
      </c>
      <c r="AD38" s="281">
        <f>+AD29</f>
        <v>2.0727272727272728</v>
      </c>
      <c r="AE38" s="143">
        <f>+(AE$26*$AD38-$AI$11-$AI$17)+'Wheat Grain'!$G$37+'Wheat Grain'!$G$42-$AD38*Assumptions!$F$38</f>
        <v>8.2666704545454905</v>
      </c>
      <c r="AF38" s="149">
        <f>+(AF$26*$AD38-$AI$11-$AI$17)+'Wheat Grain'!$G$37+'Wheat Grain'!$G$42-$AD38*Assumptions!$F$38</f>
        <v>26.921215909090918</v>
      </c>
      <c r="AG38" s="137">
        <f>+(AG$26*$AD38-$AI$11-$AI$17)+'Wheat Grain'!$G$37+'Wheat Grain'!$G$42-$AD38*Assumptions!$F$38</f>
        <v>45.575761363636417</v>
      </c>
      <c r="AH38" s="151">
        <f>+(AH$26*$AD38-$AI$11-$AI$17)+'Wheat Grain'!$G$37+'Wheat Grain'!$G$42-$AD38*Assumptions!$F$38</f>
        <v>64.230306818181816</v>
      </c>
      <c r="AI38" s="145">
        <f>+(AI$26*$AD38-$AI$11-$AI$17)+'Wheat Grain'!$G$37+'Wheat Grain'!$G$42-$AD38*Assumptions!$F$38</f>
        <v>82.884852272727358</v>
      </c>
      <c r="AK38" s="116">
        <f>+AK29</f>
        <v>211.0497191011236</v>
      </c>
      <c r="AL38" s="143">
        <f t="shared" si="12"/>
        <v>-38.458186822249807</v>
      </c>
      <c r="AM38" s="149">
        <f t="shared" si="12"/>
        <v>-25.795203676182389</v>
      </c>
      <c r="AN38" s="137">
        <f t="shared" si="12"/>
        <v>5.8622541889861708</v>
      </c>
      <c r="AO38" s="151">
        <f t="shared" si="12"/>
        <v>16.414740144042341</v>
      </c>
      <c r="AP38" s="145">
        <f t="shared" si="12"/>
        <v>37.519712054154709</v>
      </c>
      <c r="AR38" s="116">
        <f>+AR29</f>
        <v>262.77785454088678</v>
      </c>
      <c r="AS38" s="143">
        <f>+'Wheat Farm Margins'!AL38</f>
        <v>-57.604619002009819</v>
      </c>
      <c r="AT38" s="149">
        <f>+'Wheat Farm Margins'!AM38</f>
        <v>-41.83794772955661</v>
      </c>
      <c r="AU38" s="137">
        <f>+'Wheat Farm Margins'!AN38</f>
        <v>-28.69905500251226</v>
      </c>
      <c r="AV38" s="151">
        <f>+'Wheat Farm Margins'!AO38</f>
        <v>10.717623178620729</v>
      </c>
      <c r="AW38" s="145">
        <f>+'Wheat Farm Margins'!AP38</f>
        <v>36.995408632709434</v>
      </c>
    </row>
    <row r="39" spans="2:49" x14ac:dyDescent="0.25">
      <c r="B39" s="115">
        <f>+B38*1.1</f>
        <v>44</v>
      </c>
      <c r="C39" s="143">
        <f>+(C$26*$B39-$G$13-$G$17)+'Wheat Grain'!$G$37+'Wheat Grain'!$G$42</f>
        <v>90.492125000000058</v>
      </c>
      <c r="D39" s="144">
        <f>+(D$26*$B39-$G$13-$G$17)+'Wheat Grain'!$G$37+'Wheat Grain'!$G$42</f>
        <v>111.39212500000004</v>
      </c>
      <c r="E39" s="153">
        <f>+(E$26*$B39-$G$13-$G$17)+'Wheat Grain'!$G$37+'Wheat Grain'!$G$42</f>
        <v>132.29212500000003</v>
      </c>
      <c r="F39" s="144">
        <f>+(F$26*$B39-$G$13-$G$17)+'Wheat Grain'!$G$37+'Wheat Grain'!$G$42</f>
        <v>153.192125</v>
      </c>
      <c r="G39" s="145">
        <f>+(G$26*$B39-$G$13-$G$17)+'Wheat Grain'!$G$37+'Wheat Grain'!$G$42</f>
        <v>174.0921250000001</v>
      </c>
      <c r="I39" s="115">
        <f>+I38*1.1</f>
        <v>38.5</v>
      </c>
      <c r="J39" s="143">
        <f>+(J$26*$I39+$N$8-$N$13-$N$17)+'Wheat Dual  ~700Lb'!$G$37+'Wheat Dual  ~700Lb'!$G$42</f>
        <v>72.246905000000012</v>
      </c>
      <c r="K39" s="144">
        <f>+(K$26*$I39+$N$8-$N$13-$N$17)+'Wheat Dual  ~700Lb'!$G$37+'Wheat Dual  ~700Lb'!$G$42</f>
        <v>90.534405000000035</v>
      </c>
      <c r="L39" s="153">
        <f>+(L$26*$I39+$N$8-$N$13-$N$17)+'Wheat Dual  ~700Lb'!$G$37+'Wheat Dual  ~700Lb'!$G$42</f>
        <v>108.821905</v>
      </c>
      <c r="M39" s="144">
        <f>+(M$26*$I39+$N$8-$N$13-$N$17)+'Wheat Dual  ~700Lb'!$G$37+'Wheat Dual  ~700Lb'!$G$42</f>
        <v>127.10940499999997</v>
      </c>
      <c r="N39" s="145">
        <f>+(N$26*$I39+$N$8-$N$13-$N$17)+'Wheat Dual  ~700Lb'!$G$37+'Wheat Dual  ~700Lb'!$G$42</f>
        <v>145.39690500000006</v>
      </c>
      <c r="P39" s="115">
        <f>+P38*1.1</f>
        <v>38.5</v>
      </c>
      <c r="Q39" s="143">
        <f>+(Q$26*$P39*$U$6+$U$8-$U$13-$U$17)+'Wheat Dual ~800Lb'!$G$37+'Wheat Dual ~800Lb'!$G$42</f>
        <v>3.302530000000008</v>
      </c>
      <c r="R39" s="144">
        <f>+(R$26*$P39*$U$6+$U$8-$U$13-$U$17)+'Wheat Dual ~800Lb'!$G$37+'Wheat Dual ~800Lb'!$G$42</f>
        <v>14.732217500000008</v>
      </c>
      <c r="S39" s="153">
        <f>+(S$26*$P39*$U$6+$U$8-$U$13-$U$17)+'Wheat Dual ~800Lb'!$G$37+'Wheat Dual ~800Lb'!$G$42</f>
        <v>26.161905000000008</v>
      </c>
      <c r="T39" s="144">
        <f>+(T$26*$P39*$U$6+$U$8-$U$13-$U$17)+'Wheat Dual ~800Lb'!$G$37+'Wheat Dual ~800Lb'!$G$42</f>
        <v>37.591592500000004</v>
      </c>
      <c r="U39" s="145">
        <f>+(U$26*$P39*$U$6+$U$8-$U$13-$U$17)+'Wheat Dual ~800Lb'!$G$37+'Wheat Dual ~800Lb'!$G$42</f>
        <v>49.021280000000004</v>
      </c>
      <c r="W39" s="115">
        <f>+W38*1.05</f>
        <v>241.25500000000002</v>
      </c>
      <c r="X39" s="143">
        <f>+(X$26*$W39)-$AB$13-$AB$17+'Wheat Graze Out'!$G$37+'Wheat Graze Out'!$G$42</f>
        <v>-142.66154999999998</v>
      </c>
      <c r="Y39" s="153">
        <f>+(Y$26*$W39)-$AB$13-$AB$17+'Wheat Graze Out'!$G$37+'Wheat Graze Out'!$G$42</f>
        <v>-107.67957499999996</v>
      </c>
      <c r="Z39" s="153">
        <f>+(Z$26*$W39)-$AB$13-$AB$17+'Wheat Graze Out'!$G$37+'Wheat Graze Out'!$G$42</f>
        <v>-91.997999999999976</v>
      </c>
      <c r="AA39" s="144">
        <f>+(AA$26*$W39)-$AB$13-$AB$17+'Wheat Graze Out'!$G$37+'Wheat Graze Out'!$G$42</f>
        <v>-79.935249999999982</v>
      </c>
      <c r="AB39" s="145">
        <f>+(AB$26*$W39)-$AB$13-$AB$17+'Wheat Graze Out'!$G$37+'Wheat Graze Out'!$G$42</f>
        <v>-55.809749999999966</v>
      </c>
      <c r="AD39" s="280">
        <f>+AD38*1.1</f>
        <v>2.2800000000000002</v>
      </c>
      <c r="AE39" s="143">
        <f>+(AE$26*$AD39-$AI$11-$AI$17)+'Wheat Grain'!$G$37+'Wheat Grain'!$G$42-$AD39*Assumptions!$F$38</f>
        <v>32.704125000000019</v>
      </c>
      <c r="AF39" s="144">
        <f>+(AF$26*$AD39-$AI$11-$AI$17)+'Wheat Grain'!$G$37+'Wheat Grain'!$G$42-$AD39*Assumptions!$F$38</f>
        <v>53.224125000000029</v>
      </c>
      <c r="AG39" s="153">
        <f>+(AG$26*$AD39-$AI$11-$AI$17)+'Wheat Grain'!$G$37+'Wheat Grain'!$G$42-$AD39*Assumptions!$F$38</f>
        <v>73.744125000000011</v>
      </c>
      <c r="AH39" s="144">
        <f>+(AH$26*$AD39-$AI$11-$AI$17)+'Wheat Grain'!$G$37+'Wheat Grain'!$G$42-$AD39*Assumptions!$F$38</f>
        <v>94.26412500000005</v>
      </c>
      <c r="AI39" s="145">
        <f>+(AI$26*$AD39-$AI$11-$AI$17)+'Wheat Grain'!$G$37+'Wheat Grain'!$G$42-$AD39*Assumptions!$F$38</f>
        <v>114.78412500000009</v>
      </c>
      <c r="AK39" s="115">
        <f>+AK38*1.05</f>
        <v>221.6022050561798</v>
      </c>
      <c r="AL39" s="143">
        <f t="shared" si="12"/>
        <v>-33.815093002025073</v>
      </c>
      <c r="AM39" s="144">
        <f t="shared" si="12"/>
        <v>-20.51896069865429</v>
      </c>
      <c r="AN39" s="153">
        <f t="shared" si="12"/>
        <v>12.721370059772696</v>
      </c>
      <c r="AO39" s="144">
        <f t="shared" si="12"/>
        <v>23.80148031258166</v>
      </c>
      <c r="AP39" s="145">
        <f t="shared" si="12"/>
        <v>45.961700818199674</v>
      </c>
      <c r="AR39" s="115">
        <f>+AR38*1.05</f>
        <v>275.91674726793116</v>
      </c>
      <c r="AS39" s="143">
        <f>+'Wheat Farm Margins'!AL39</f>
        <v>-51.823506202110288</v>
      </c>
      <c r="AT39" s="144">
        <f>+'Wheat Farm Margins'!AM39</f>
        <v>-35.268501366034421</v>
      </c>
      <c r="AU39" s="153">
        <f>+'Wheat Farm Margins'!AN39</f>
        <v>-21.472664002637856</v>
      </c>
      <c r="AV39" s="144">
        <f>+'Wheat Farm Margins'!AO39</f>
        <v>19.914848087551803</v>
      </c>
      <c r="AW39" s="145">
        <f>+'Wheat Farm Margins'!AP39</f>
        <v>47.506522814344926</v>
      </c>
    </row>
    <row r="40" spans="2:49" ht="15.75" thickBot="1" x14ac:dyDescent="0.3">
      <c r="B40" s="117">
        <f>+B38*1.2</f>
        <v>48</v>
      </c>
      <c r="C40" s="146">
        <f>+(C$26*$B40-$G$13-$G$17)+'Wheat Grain'!$G$37+'Wheat Grain'!$G$42</f>
        <v>124.69212500000005</v>
      </c>
      <c r="D40" s="147">
        <f>+(D$26*$B40-$G$13-$G$17)+'Wheat Grain'!$G$37+'Wheat Grain'!$G$42</f>
        <v>147.49212500000007</v>
      </c>
      <c r="E40" s="147">
        <f>+(E$26*$B40-$G$13-$G$17)+'Wheat Grain'!$G$37+'Wheat Grain'!$G$42</f>
        <v>170.29212500000003</v>
      </c>
      <c r="F40" s="147">
        <f>+(F$26*$B40-$G$13-$G$17)+'Wheat Grain'!$G$37+'Wheat Grain'!$G$42</f>
        <v>193.09212499999998</v>
      </c>
      <c r="G40" s="148">
        <f>+(G$26*$B40-$G$13-$G$17)+'Wheat Grain'!$G$37+'Wheat Grain'!$G$42</f>
        <v>215.89212500000005</v>
      </c>
      <c r="I40" s="117">
        <f>+I38*1.2</f>
        <v>42</v>
      </c>
      <c r="J40" s="146">
        <f>+(J$26*$I40+$N$8-$N$13-$N$17)+'Wheat Dual  ~700Lb'!$G$37+'Wheat Dual  ~700Lb'!$G$42</f>
        <v>102.17190500000002</v>
      </c>
      <c r="K40" s="147">
        <f>+(K$26*$I40+$N$8-$N$13-$N$17)+'Wheat Dual  ~700Lb'!$G$37+'Wheat Dual  ~700Lb'!$G$42</f>
        <v>122.12190500000001</v>
      </c>
      <c r="L40" s="147">
        <f>+(L$26*$I40+$N$8-$N$13-$N$17)+'Wheat Dual  ~700Lb'!$G$37+'Wheat Dual  ~700Lb'!$G$42</f>
        <v>142.07190500000002</v>
      </c>
      <c r="M40" s="147">
        <f>+(M$26*$I40+$N$8-$N$13-$N$17)+'Wheat Dual  ~700Lb'!$G$37+'Wheat Dual  ~700Lb'!$G$42</f>
        <v>162.02190499999998</v>
      </c>
      <c r="N40" s="148">
        <f>+(N$26*$I40+$N$8-$N$13-$N$17)+'Wheat Dual  ~700Lb'!$G$37+'Wheat Dual  ~700Lb'!$G$42</f>
        <v>181.97190500000002</v>
      </c>
      <c r="P40" s="117">
        <f>+P38*1.2</f>
        <v>42</v>
      </c>
      <c r="Q40" s="146">
        <f>+(Q$26*$P40*$U$6+$U$8-$U$13-$U$17)+'Wheat Dual ~800Lb'!$G$37+'Wheat Dual ~800Lb'!$G$42</f>
        <v>22.005655000000008</v>
      </c>
      <c r="R40" s="147">
        <f>+(R$26*$P40*$U$6+$U$8-$U$13-$U$17)+'Wheat Dual ~800Lb'!$G$37+'Wheat Dual ~800Lb'!$G$42</f>
        <v>34.474405000000004</v>
      </c>
      <c r="S40" s="147">
        <f>+(S$26*$P40*$U$6+$U$8-$U$13-$U$17)+'Wheat Dual ~800Lb'!$G$37+'Wheat Dual ~800Lb'!$G$42</f>
        <v>46.943155000000004</v>
      </c>
      <c r="T40" s="147">
        <f>+(T$26*$P40*$U$6+$U$8-$U$13-$U$17)+'Wheat Dual ~800Lb'!$G$37+'Wheat Dual ~800Lb'!$G$42</f>
        <v>59.411905000000004</v>
      </c>
      <c r="U40" s="148">
        <f>+(U$26*$P40*$U$6+$U$8-$U$13-$U$17)+'Wheat Dual ~800Lb'!$G$37+'Wheat Dual ~800Lb'!$G$42</f>
        <v>71.880655000000004</v>
      </c>
      <c r="W40" s="117">
        <f>+W39*1.1</f>
        <v>265.38050000000004</v>
      </c>
      <c r="X40" s="146">
        <f>+(X$26*$W40)-$AB$13-$AB$17+'Wheat Graze Out'!$G$37+'Wheat Graze Out'!$G$42</f>
        <v>-132.04632999999998</v>
      </c>
      <c r="Y40" s="147">
        <f>+(Y$26*$W40)-$AB$13-$AB$17+'Wheat Graze Out'!$G$37+'Wheat Graze Out'!$G$42</f>
        <v>-93.566157499999932</v>
      </c>
      <c r="Z40" s="147">
        <f>+(Z$26*$W40)-$AB$13-$AB$17+'Wheat Graze Out'!$G$37+'Wheat Graze Out'!$G$42</f>
        <v>-76.316424999999938</v>
      </c>
      <c r="AA40" s="147">
        <f>+(AA$26*$W40)-$AB$13-$AB$17+'Wheat Graze Out'!$G$37+'Wheat Graze Out'!$G$42</f>
        <v>-63.047399999999968</v>
      </c>
      <c r="AB40" s="148">
        <f>+(AB$26*$W40)-$AB$13-$AB$17+'Wheat Graze Out'!$G$37+'Wheat Graze Out'!$G$42</f>
        <v>-36.509349999999941</v>
      </c>
      <c r="AD40" s="282">
        <f>+AD38*1.2</f>
        <v>2.4872727272727273</v>
      </c>
      <c r="AE40" s="146">
        <f>+(AE$26*$AD40-$AI$11-$AI$17)+'Wheat Grain'!$G$37+'Wheat Grain'!$G$42-$AD40*Assumptions!$F$38</f>
        <v>57.141579545454533</v>
      </c>
      <c r="AF40" s="147">
        <f>+(AF$26*$AD40-$AI$11-$AI$17)+'Wheat Grain'!$G$37+'Wheat Grain'!$G$42-$AD40*Assumptions!$F$38</f>
        <v>79.527034090909069</v>
      </c>
      <c r="AG40" s="147">
        <f>+(AG$26*$AD40-$AI$11-$AI$17)+'Wheat Grain'!$G$37+'Wheat Grain'!$G$42-$AD40*Assumptions!$F$38</f>
        <v>101.91248863636361</v>
      </c>
      <c r="AH40" s="147">
        <f>+(AH$26*$AD40-$AI$11-$AI$17)+'Wheat Grain'!$G$37+'Wheat Grain'!$G$42-$AD40*Assumptions!$F$38</f>
        <v>124.2979431818182</v>
      </c>
      <c r="AI40" s="148">
        <f>+(AI$26*$AD40-$AI$11-$AI$17)+'Wheat Grain'!$G$37+'Wheat Grain'!$G$42-$AD40*Assumptions!$F$38</f>
        <v>146.68339772727282</v>
      </c>
      <c r="AK40" s="117">
        <f>+AK39*1.1</f>
        <v>243.76242556179778</v>
      </c>
      <c r="AL40" s="146">
        <f t="shared" si="12"/>
        <v>-24.064595979553168</v>
      </c>
      <c r="AM40" s="147">
        <f t="shared" si="12"/>
        <v>-9.43885044584529</v>
      </c>
      <c r="AN40" s="147">
        <f t="shared" si="12"/>
        <v>27.12551338842438</v>
      </c>
      <c r="AO40" s="147">
        <f t="shared" si="12"/>
        <v>39.313634666514261</v>
      </c>
      <c r="AP40" s="148">
        <f t="shared" si="12"/>
        <v>63.689877222694051</v>
      </c>
      <c r="AR40" s="117">
        <f>+AR39*1.1</f>
        <v>303.5084219947243</v>
      </c>
      <c r="AS40" s="146">
        <f>+'Wheat Farm Margins'!AL40</f>
        <v>-39.683169322321298</v>
      </c>
      <c r="AT40" s="147">
        <f>+'Wheat Farm Margins'!AM40</f>
        <v>-21.472664002637856</v>
      </c>
      <c r="AU40" s="147">
        <f>+'Wheat Farm Margins'!AN40</f>
        <v>-6.2972429029016137</v>
      </c>
      <c r="AV40" s="147">
        <f>+'Wheat Farm Margins'!AO40</f>
        <v>39.229020396307</v>
      </c>
      <c r="AW40" s="148">
        <f>+'Wheat Farm Margins'!AP40</f>
        <v>69.579862595779446</v>
      </c>
    </row>
    <row r="41" spans="2:49" ht="16.5" thickTop="1" thickBot="1" x14ac:dyDescent="0.3">
      <c r="B41" s="92"/>
      <c r="C41" s="91"/>
      <c r="D41" s="91"/>
      <c r="E41" s="91"/>
      <c r="F41" s="91"/>
      <c r="G41" s="91"/>
      <c r="I41" s="92"/>
      <c r="J41" s="91"/>
      <c r="K41" s="91"/>
      <c r="L41" s="91"/>
      <c r="M41" s="91"/>
      <c r="N41" s="91"/>
      <c r="P41" s="92"/>
      <c r="Q41" s="91"/>
      <c r="R41" s="91"/>
      <c r="S41" s="91"/>
      <c r="T41" s="91"/>
      <c r="U41" s="91"/>
      <c r="W41" s="92"/>
      <c r="X41" s="91"/>
      <c r="Y41" s="91"/>
      <c r="Z41" s="91"/>
      <c r="AA41" s="91"/>
      <c r="AB41" s="91"/>
      <c r="AD41" s="92"/>
      <c r="AE41" s="91"/>
      <c r="AF41" s="91"/>
      <c r="AG41" s="91"/>
      <c r="AH41" s="91"/>
      <c r="AI41" s="91"/>
      <c r="AK41" s="92"/>
      <c r="AL41" s="91"/>
      <c r="AM41" s="91"/>
      <c r="AN41" s="91"/>
      <c r="AO41" s="91"/>
      <c r="AP41" s="91"/>
      <c r="AR41" s="92"/>
      <c r="AS41" s="91"/>
      <c r="AT41" s="91"/>
      <c r="AU41" s="91"/>
      <c r="AV41" s="91"/>
      <c r="AW41" s="91"/>
    </row>
    <row r="42" spans="2:49" ht="16.5" thickTop="1" thickBot="1" x14ac:dyDescent="0.3">
      <c r="B42" s="352" t="s">
        <v>118</v>
      </c>
      <c r="C42" s="353"/>
      <c r="D42" s="353"/>
      <c r="E42" s="353"/>
      <c r="F42" s="353"/>
      <c r="G42" s="354"/>
      <c r="I42" s="352" t="s">
        <v>116</v>
      </c>
      <c r="J42" s="353"/>
      <c r="K42" s="353"/>
      <c r="L42" s="353"/>
      <c r="M42" s="353"/>
      <c r="N42" s="354"/>
      <c r="P42" s="352" t="s">
        <v>116</v>
      </c>
      <c r="Q42" s="353"/>
      <c r="R42" s="353"/>
      <c r="S42" s="353"/>
      <c r="T42" s="353"/>
      <c r="U42" s="354"/>
      <c r="W42" s="352" t="s">
        <v>199</v>
      </c>
      <c r="X42" s="353"/>
      <c r="Y42" s="353"/>
      <c r="Z42" s="353"/>
      <c r="AA42" s="353"/>
      <c r="AB42" s="354"/>
      <c r="AD42" s="352" t="s">
        <v>188</v>
      </c>
      <c r="AE42" s="353"/>
      <c r="AF42" s="353"/>
      <c r="AG42" s="353"/>
      <c r="AH42" s="353"/>
      <c r="AI42" s="354"/>
      <c r="AK42" s="352" t="s">
        <v>116</v>
      </c>
      <c r="AL42" s="353"/>
      <c r="AM42" s="353"/>
      <c r="AN42" s="353"/>
      <c r="AO42" s="353"/>
      <c r="AP42" s="354"/>
      <c r="AR42" s="352" t="s">
        <v>116</v>
      </c>
      <c r="AS42" s="353"/>
      <c r="AT42" s="353"/>
      <c r="AU42" s="353"/>
      <c r="AV42" s="353"/>
      <c r="AW42" s="354"/>
    </row>
    <row r="43" spans="2:49" ht="15.75" thickTop="1" x14ac:dyDescent="0.25">
      <c r="B43" s="60" t="s">
        <v>58</v>
      </c>
      <c r="C43" s="355" t="s">
        <v>114</v>
      </c>
      <c r="D43" s="356"/>
      <c r="E43" s="356" t="s">
        <v>60</v>
      </c>
      <c r="F43" s="356"/>
      <c r="G43" s="357"/>
      <c r="I43" s="60" t="s">
        <v>58</v>
      </c>
      <c r="J43" s="355" t="s">
        <v>114</v>
      </c>
      <c r="K43" s="356"/>
      <c r="L43" s="356" t="s">
        <v>60</v>
      </c>
      <c r="M43" s="356"/>
      <c r="N43" s="357"/>
      <c r="P43" s="60" t="s">
        <v>58</v>
      </c>
      <c r="Q43" s="355" t="s">
        <v>114</v>
      </c>
      <c r="R43" s="356"/>
      <c r="S43" s="356" t="s">
        <v>60</v>
      </c>
      <c r="T43" s="356"/>
      <c r="U43" s="357"/>
      <c r="W43" s="60" t="s">
        <v>109</v>
      </c>
      <c r="X43" s="361" t="s">
        <v>107</v>
      </c>
      <c r="Y43" s="362"/>
      <c r="Z43" s="362"/>
      <c r="AA43" s="362"/>
      <c r="AB43" s="363"/>
      <c r="AD43" s="60" t="s">
        <v>58</v>
      </c>
      <c r="AE43" s="355" t="str">
        <f>+AE25</f>
        <v>Prices ($/ton)</v>
      </c>
      <c r="AF43" s="356"/>
      <c r="AG43" s="356" t="s">
        <v>60</v>
      </c>
      <c r="AH43" s="356"/>
      <c r="AI43" s="357"/>
      <c r="AK43" s="60" t="s">
        <v>109</v>
      </c>
      <c r="AL43" s="361" t="s">
        <v>107</v>
      </c>
      <c r="AM43" s="362"/>
      <c r="AN43" s="362"/>
      <c r="AO43" s="362"/>
      <c r="AP43" s="363"/>
      <c r="AR43" s="60" t="s">
        <v>109</v>
      </c>
      <c r="AS43" s="355" t="s">
        <v>107</v>
      </c>
      <c r="AT43" s="356"/>
      <c r="AU43" s="356"/>
      <c r="AV43" s="356"/>
      <c r="AW43" s="357"/>
    </row>
    <row r="44" spans="2:49" ht="15.75" thickBot="1" x14ac:dyDescent="0.3">
      <c r="B44" s="61"/>
      <c r="C44" s="74">
        <f>+E44*0.9</f>
        <v>8.5500000000000007</v>
      </c>
      <c r="D44" s="75">
        <f>+E44*0.95</f>
        <v>9.0250000000000004</v>
      </c>
      <c r="E44" s="80">
        <f>+E35</f>
        <v>9.5</v>
      </c>
      <c r="F44" s="75">
        <f>+E44*1.05</f>
        <v>9.9749999999999996</v>
      </c>
      <c r="G44" s="76">
        <f>+E44*1.1</f>
        <v>10.450000000000001</v>
      </c>
      <c r="I44" s="61"/>
      <c r="J44" s="74">
        <f>+L44*0.9</f>
        <v>8.5500000000000007</v>
      </c>
      <c r="K44" s="75">
        <f>+L44*0.95</f>
        <v>9.0250000000000004</v>
      </c>
      <c r="L44" s="80">
        <f>+L35</f>
        <v>9.5</v>
      </c>
      <c r="M44" s="75">
        <f>+L44*1.05</f>
        <v>9.9749999999999996</v>
      </c>
      <c r="N44" s="76">
        <f>+L44*1.1</f>
        <v>10.450000000000001</v>
      </c>
      <c r="P44" s="61"/>
      <c r="Q44" s="74">
        <f>+S44*0.9</f>
        <v>8.5500000000000007</v>
      </c>
      <c r="R44" s="75">
        <f>+S44*0.95</f>
        <v>9.0250000000000004</v>
      </c>
      <c r="S44" s="80">
        <f>+S35</f>
        <v>9.5</v>
      </c>
      <c r="T44" s="75">
        <f>+S44*1.05</f>
        <v>9.9749999999999996</v>
      </c>
      <c r="U44" s="76">
        <f>+S44*1.1</f>
        <v>10.450000000000001</v>
      </c>
      <c r="W44" s="61" t="s">
        <v>8</v>
      </c>
      <c r="X44" s="74">
        <f>+X26</f>
        <v>0.44</v>
      </c>
      <c r="Y44" s="75">
        <f>+Y26</f>
        <v>0.58500000000000008</v>
      </c>
      <c r="Z44" s="90">
        <f>+Z35</f>
        <v>0.65</v>
      </c>
      <c r="AA44" s="75">
        <f>+AA26</f>
        <v>0.7</v>
      </c>
      <c r="AB44" s="76">
        <f>+AB26</f>
        <v>0.8</v>
      </c>
      <c r="AD44" s="61" t="str">
        <f>+AD26</f>
        <v>Ton/acre</v>
      </c>
      <c r="AE44" s="249">
        <f>+AG44*0.9</f>
        <v>162</v>
      </c>
      <c r="AF44" s="250">
        <f>+AG44*0.95</f>
        <v>171</v>
      </c>
      <c r="AG44" s="251">
        <f>+AG35</f>
        <v>180</v>
      </c>
      <c r="AH44" s="250">
        <f>+AG44*1.05</f>
        <v>189</v>
      </c>
      <c r="AI44" s="252">
        <f>+AG44*1.1</f>
        <v>198.00000000000003</v>
      </c>
      <c r="AK44" s="61" t="s">
        <v>8</v>
      </c>
      <c r="AL44" s="74">
        <f>+AL35</f>
        <v>0.44</v>
      </c>
      <c r="AM44" s="75">
        <f>+AM35</f>
        <v>0.58500000000000008</v>
      </c>
      <c r="AN44" s="90">
        <f>+AN35</f>
        <v>0.65</v>
      </c>
      <c r="AO44" s="75">
        <f>+AO35</f>
        <v>0.7</v>
      </c>
      <c r="AP44" s="76">
        <f>+AP35</f>
        <v>0.8</v>
      </c>
      <c r="AR44" s="61" t="s">
        <v>8</v>
      </c>
      <c r="AS44" s="74">
        <f>+AS35</f>
        <v>0.44</v>
      </c>
      <c r="AT44" s="75">
        <f>+AT35</f>
        <v>0.49500000000000005</v>
      </c>
      <c r="AU44" s="80">
        <f>+AU35</f>
        <v>0.55000000000000004</v>
      </c>
      <c r="AV44" s="75">
        <f>+AV35</f>
        <v>0.7</v>
      </c>
      <c r="AW44" s="76">
        <f>+AW35</f>
        <v>0.8</v>
      </c>
    </row>
    <row r="45" spans="2:49" ht="15.75" thickTop="1" x14ac:dyDescent="0.25">
      <c r="B45" s="62">
        <f>+B47*0.65</f>
        <v>26</v>
      </c>
      <c r="C45" s="63">
        <f>+(C$26*$B45-$G$13-$G$17)+'Wheat Grain'!$G$37+'Wheat Grain'!$G$42+$G$12-$G$51</f>
        <v>-30.007874999999974</v>
      </c>
      <c r="D45" s="64">
        <f>+(D$26*$B45-$G$13-$G$17)+'Wheat Grain'!$G$37+'Wheat Grain'!$G$42+$G$12-$G$51</f>
        <v>-17.657874999999979</v>
      </c>
      <c r="E45" s="64">
        <f>+(E$26*$B45-$G$13-$G$17)+'Wheat Grain'!$G$37+'Wheat Grain'!$G$42+$G$12-$G$51</f>
        <v>-5.307874999999985</v>
      </c>
      <c r="F45" s="64">
        <f>+(F$26*$B45-$G$13-$G$17)+'Wheat Grain'!$G$37+'Wheat Grain'!$G$42+$G$12-$G$51</f>
        <v>7.0421249999999844</v>
      </c>
      <c r="G45" s="65">
        <f>+(G$26*$B45-$G$13-$G$17)+'Wheat Grain'!$G$37+'Wheat Grain'!$G$42+$G$12-$G$51</f>
        <v>19.392125000000068</v>
      </c>
      <c r="I45" s="62">
        <f>+B45</f>
        <v>26</v>
      </c>
      <c r="J45" s="63">
        <f>+(J$26*$I45+$N$8-$N$13-$N$17)+'Wheat Dual  ~700Lb'!$G$37+'Wheat Dual  ~700Lb'!$G$42+$N$12-$N$51</f>
        <v>-1.2280949999999855</v>
      </c>
      <c r="K45" s="64">
        <f>+(K$26*$I45+$N$8-$N$13-$N$17)+'Wheat Dual  ~700Lb'!$G$37+'Wheat Dual  ~700Lb'!$G$42+$N$12-$N$51</f>
        <v>11.121904999999984</v>
      </c>
      <c r="L45" s="64">
        <f>+(L$26*$I45+$N$8-$N$13-$N$17)+'Wheat Dual  ~700Lb'!$G$37+'Wheat Dual  ~700Lb'!$G$42+$N$12-$N$51</f>
        <v>23.47190500000001</v>
      </c>
      <c r="M45" s="64">
        <f>+(M$26*$I45+$N$8-$N$13-$N$17)+'Wheat Dual  ~700Lb'!$G$37+'Wheat Dual  ~700Lb'!$G$42+$N$12-$N$51</f>
        <v>35.821904999999973</v>
      </c>
      <c r="N45" s="65">
        <f>+(N$26*$I45+$N$8-$N$13-$N$17)+'Wheat Dual  ~700Lb'!$G$37+'Wheat Dual  ~700Lb'!$G$42+$N$12-$N$51</f>
        <v>48.171905000000052</v>
      </c>
      <c r="P45" s="62">
        <f>+P47*0.8</f>
        <v>28</v>
      </c>
      <c r="Q45" s="63">
        <f>+(Q$26*$P45*$U$6+$U$8-$U$13-$U$17)+'Wheat Dual ~800Lb'!$G$37+'Wheat Dual ~800Lb'!$G$42+$U$12-$U$51*$U$6</f>
        <v>-31.931844999999967</v>
      </c>
      <c r="R45" s="64">
        <f>+(R$26*$P45*$U$6+$U$8-$U$13-$U$17)+'Wheat Dual ~800Lb'!$G$37+'Wheat Dual ~800Lb'!$G$42+$U$12-$U$51*$U$6</f>
        <v>-23.619344999999996</v>
      </c>
      <c r="S45" s="64">
        <f>+(S$26*$P45*$U$6+$U$8-$U$13-$U$17)+'Wheat Dual ~800Lb'!$G$37+'Wheat Dual ~800Lb'!$G$42+$U$12-$U$51*$U$6</f>
        <v>-15.306844999999996</v>
      </c>
      <c r="T45" s="64">
        <f>+(T$26*$P45*$U$6+$U$8-$U$13-$U$17)+'Wheat Dual ~800Lb'!$G$37+'Wheat Dual ~800Lb'!$G$42+$U$12-$U$51*$U$6</f>
        <v>-6.994344999999992</v>
      </c>
      <c r="U45" s="65">
        <f>+(U$26*$P45*$U$6+$U$8-$U$13-$U$17)+'Wheat Dual ~800Lb'!$G$37+'Wheat Dual ~800Lb'!$G$42+$U$12-$U$51*$U$6</f>
        <v>1.318155000000008</v>
      </c>
      <c r="W45" s="62">
        <f>+W47*0.9</f>
        <v>206.79000000000002</v>
      </c>
      <c r="X45" s="63">
        <f>+(X$26*$W45)-$AB$13-$AB$17+'Wheat Graze Out'!$G$37+'Wheat Graze Out'!$G$42</f>
        <v>-157.82614999999998</v>
      </c>
      <c r="Y45" s="64">
        <f>+(Y$26*$W45)-$AB$13-$AB$17+'Wheat Graze Out'!$G$37+'Wheat Graze Out'!$G$42</f>
        <v>-127.84159999999996</v>
      </c>
      <c r="Z45" s="64">
        <f>+(Z$26*$W45)-$AB$13-$AB$17+'Wheat Graze Out'!$G$37+'Wheat Graze Out'!$G$42</f>
        <v>-114.40024999999996</v>
      </c>
      <c r="AA45" s="64">
        <f>+(AA$26*$W45)-$AB$13-$AB$17+'Wheat Graze Out'!$G$37+'Wheat Graze Out'!$G$42</f>
        <v>-104.06074999999997</v>
      </c>
      <c r="AB45" s="65">
        <f>+(AB$26*$W45)-$AB$13-$AB$17+'Wheat Graze Out'!$G$37+'Wheat Graze Out'!$G$42</f>
        <v>-83.381749999999968</v>
      </c>
      <c r="AD45" s="263">
        <f>+AD47*0.8</f>
        <v>1.6581818181818182</v>
      </c>
      <c r="AE45" s="63">
        <f>+(AE$26*$AD45-$AI$11-$AI$17-$AD45*$AI$51)+'Wheat Grain'!$AI$37+'Wheat Grain'!$AI$42</f>
        <v>-26.964238636363625</v>
      </c>
      <c r="AF45" s="64">
        <f>+(AF$26*$AD45-$AI$11-$AI$17-$AD45*$AI$51)+'Wheat Grain'!$AI$37+'Wheat Grain'!$AI$42</f>
        <v>-12.040602272727249</v>
      </c>
      <c r="AG45" s="64">
        <f>+(AG$26*$AD45-$AI$11-$AI$17-$AD45*$AI$51)+'Wheat Grain'!$AI$37+'Wheat Grain'!$AI$42</f>
        <v>2.8830340909091277</v>
      </c>
      <c r="AH45" s="64">
        <f>+(AH$26*$AD45-$AI$11-$AI$17-$AD45*$AI$51)+'Wheat Grain'!$AI$37+'Wheat Grain'!$AI$42</f>
        <v>17.806670454545447</v>
      </c>
      <c r="AI45" s="65">
        <f>+(AI$26*$AD45-$AI$11-$AI$17-$AD45*$AI$51)+'Wheat Grain'!$AI$37+'Wheat Grain'!$AI$42</f>
        <v>32.73030681818188</v>
      </c>
      <c r="AK45" s="62">
        <f>+AK47*0.9</f>
        <v>189.94474719101123</v>
      </c>
      <c r="AL45" s="63">
        <f>+AL36</f>
        <v>-47.744374462699248</v>
      </c>
      <c r="AM45" s="64">
        <f t="shared" ref="AM45:AP45" si="13">+AM36</f>
        <v>-36.347689631238573</v>
      </c>
      <c r="AN45" s="64">
        <f t="shared" si="13"/>
        <v>-7.8559775525868787</v>
      </c>
      <c r="AO45" s="64">
        <f t="shared" si="13"/>
        <v>1.6412598069636744</v>
      </c>
      <c r="AP45" s="65">
        <f t="shared" si="13"/>
        <v>20.635734526064809</v>
      </c>
      <c r="AR45" s="62">
        <f>+AR47*0.9</f>
        <v>236.50006908679811</v>
      </c>
      <c r="AS45" s="63">
        <f>+AS36</f>
        <v>-69.166844601808833</v>
      </c>
      <c r="AT45" s="64">
        <f t="shared" ref="AT45:AW45" si="14">+AT36</f>
        <v>-54.976840456600947</v>
      </c>
      <c r="AU45" s="64">
        <f t="shared" si="14"/>
        <v>-43.151837002261026</v>
      </c>
      <c r="AV45" s="64">
        <f t="shared" si="14"/>
        <v>-7.6768266392413391</v>
      </c>
      <c r="AW45" s="65">
        <f t="shared" si="14"/>
        <v>15.973180269438503</v>
      </c>
    </row>
    <row r="46" spans="2:49" ht="15.75" thickBot="1" x14ac:dyDescent="0.3">
      <c r="B46" s="66">
        <f>+B47*0.8</f>
        <v>32</v>
      </c>
      <c r="C46" s="67">
        <f>+(C$26*$B46-$G$13-$G$17)+'Wheat Grain'!$G$37+'Wheat Grain'!$G$42+$G$12-$G$51</f>
        <v>21.292125000000045</v>
      </c>
      <c r="D46" s="68">
        <f>+(D$26*$B46-$G$13-$G$17)+'Wheat Grain'!$G$37+'Wheat Grain'!$G$42+$G$12-$G$51</f>
        <v>36.49212500000003</v>
      </c>
      <c r="E46" s="135">
        <f>+(E$26*$B46-$G$13-$G$17)+'Wheat Grain'!$G$37+'Wheat Grain'!$G$42+$G$12-$G$51</f>
        <v>51.692125000000019</v>
      </c>
      <c r="F46" s="68">
        <f>+(F$26*$B46-$G$13-$G$17)+'Wheat Grain'!$G$37+'Wheat Grain'!$G$42+$G$12-$G$51</f>
        <v>66.892125000000007</v>
      </c>
      <c r="G46" s="69">
        <f>+(G$26*$B46-$G$13-$G$17)+'Wheat Grain'!$G$37+'Wheat Grain'!$G$42+$G$12-$G$51</f>
        <v>82.092125000000053</v>
      </c>
      <c r="I46" s="66">
        <f>+B46</f>
        <v>32</v>
      </c>
      <c r="J46" s="67">
        <f>+(J$26*$I46+$N$8-$N$13-$N$17)+'Wheat Dual  ~700Lb'!$G$37+'Wheat Dual  ~700Lb'!$G$42+$N$12-$N$51</f>
        <v>50.071905000000029</v>
      </c>
      <c r="K46" s="68">
        <f>+(K$26*$I46+$N$8-$N$13-$N$17)+'Wheat Dual  ~700Lb'!$G$37+'Wheat Dual  ~700Lb'!$G$42+$N$12-$N$51</f>
        <v>65.271905000000018</v>
      </c>
      <c r="L46" s="135">
        <f>+(L$26*$I46+$N$8-$N$13-$N$17)+'Wheat Dual  ~700Lb'!$G$37+'Wheat Dual  ~700Lb'!$G$42+$N$12-$N$51</f>
        <v>80.471905000000007</v>
      </c>
      <c r="M46" s="68">
        <f>+(M$26*$I46+$N$8-$N$13-$N$17)+'Wheat Dual  ~700Lb'!$G$37+'Wheat Dual  ~700Lb'!$G$42+$N$12-$N$51</f>
        <v>95.671904999999995</v>
      </c>
      <c r="N46" s="69">
        <f>+(N$26*$I46+$N$8-$N$13-$N$17)+'Wheat Dual  ~700Lb'!$G$37+'Wheat Dual  ~700Lb'!$G$42+$N$12-$N$51</f>
        <v>110.87190500000004</v>
      </c>
      <c r="P46" s="66">
        <f>+P47*0.9</f>
        <v>31.5</v>
      </c>
      <c r="Q46" s="67">
        <f>+(Q$26*$P46*$U$6+$U$8-$U$13-$U$17)+'Wheat Dual ~800Lb'!$G$37+'Wheat Dual ~800Lb'!$G$42+$U$12-$U$51*$U$6</f>
        <v>-13.228719999999996</v>
      </c>
      <c r="R46" s="68">
        <f>+(R$26*$P46*$U$6+$U$8-$U$13-$U$17)+'Wheat Dual ~800Lb'!$G$37+'Wheat Dual ~800Lb'!$G$42+$U$12-$U$51*$U$6</f>
        <v>-3.877157499999992</v>
      </c>
      <c r="S46" s="135">
        <f>+(S$26*$P46*$U$6+$U$8-$U$13-$U$17)+'Wheat Dual ~800Lb'!$G$37+'Wheat Dual ~800Lb'!$G$42+$U$12-$U$51*$U$6</f>
        <v>5.474405000000008</v>
      </c>
      <c r="T46" s="68">
        <f>+(T$26*$P46*$U$6+$U$8-$U$13-$U$17)+'Wheat Dual ~800Lb'!$G$37+'Wheat Dual ~800Lb'!$G$42+$U$12-$U$51*$U$6</f>
        <v>14.825967500000008</v>
      </c>
      <c r="U46" s="69">
        <f>+(U$26*$P46*$U$6+$U$8-$U$13-$U$17)+'Wheat Dual ~800Lb'!$G$37+'Wheat Dual ~800Lb'!$G$42+$U$12-$U$51*$U$6</f>
        <v>24.177530000000004</v>
      </c>
      <c r="W46" s="66">
        <f>+W47*0.95</f>
        <v>218.27833333333334</v>
      </c>
      <c r="X46" s="67">
        <f>+(X$26*$W46)-$AB$13-$AB$17+'Wheat Graze Out'!$G$37+'Wheat Graze Out'!$G$42</f>
        <v>-152.77128333333332</v>
      </c>
      <c r="Y46" s="68">
        <f>+(Y$26*$W46)-$AB$13-$AB$17+'Wheat Graze Out'!$G$37+'Wheat Graze Out'!$G$42</f>
        <v>-121.12092499999999</v>
      </c>
      <c r="Z46" s="135">
        <f>+(Z$26*$W46)-$AB$13-$AB$17+'Wheat Graze Out'!$G$37+'Wheat Graze Out'!$G$42</f>
        <v>-106.93283333333331</v>
      </c>
      <c r="AA46" s="68">
        <f>+(AA$26*$W46)-$AB$13-$AB$17+'Wheat Graze Out'!$G$37+'Wheat Graze Out'!$G$42</f>
        <v>-96.018916666666669</v>
      </c>
      <c r="AB46" s="69">
        <f>+(AB$26*$W46)-$AB$13-$AB$17+'Wheat Graze Out'!$G$37+'Wheat Graze Out'!$G$42</f>
        <v>-74.19108333333331</v>
      </c>
      <c r="AD46" s="264">
        <f>+AD47*0.9</f>
        <v>1.8654545454545455</v>
      </c>
      <c r="AE46" s="67">
        <f>+(AE$26*$AD46-$AI$11-$AI$17-$AD46*$AI$51)+'Wheat Grain'!$AI$37+'Wheat Grain'!$AI$42</f>
        <v>2.2612159090909074</v>
      </c>
      <c r="AF46" s="68">
        <f>+(AF$26*$AD46-$AI$11-$AI$17-$AD46*$AI$51)+'Wheat Grain'!$AI$37+'Wheat Grain'!$AI$42</f>
        <v>19.050306818181838</v>
      </c>
      <c r="AG46" s="135">
        <f>+(AG$26*$AD46-$AI$11-$AI$17-$AD46*$AI$51)+'Wheat Grain'!$AI$37+'Wheat Grain'!$AI$42</f>
        <v>35.839397727272768</v>
      </c>
      <c r="AH46" s="68">
        <f>+(AH$26*$AD46-$AI$11-$AI$17-$AD46*$AI$51)+'Wheat Grain'!$AI$37+'Wheat Grain'!$AI$42</f>
        <v>52.628488636363642</v>
      </c>
      <c r="AI46" s="69">
        <f>+(AI$26*$AD46-$AI$11-$AI$17-$AD46*$AI$51)+'Wheat Grain'!$AI$37+'Wheat Grain'!$AI$42</f>
        <v>69.417579545454629</v>
      </c>
      <c r="AK46" s="66">
        <f>+AK47*0.95</f>
        <v>200.4972331460674</v>
      </c>
      <c r="AL46" s="67">
        <f t="shared" ref="AL46:AP49" si="15">+AL37</f>
        <v>-43.101280642474528</v>
      </c>
      <c r="AM46" s="68">
        <f t="shared" si="15"/>
        <v>-31.071446653710488</v>
      </c>
      <c r="AN46" s="135">
        <f t="shared" si="15"/>
        <v>-0.99686168180035395</v>
      </c>
      <c r="AO46" s="68">
        <f t="shared" si="15"/>
        <v>9.0279999755029934</v>
      </c>
      <c r="AP46" s="69">
        <f t="shared" si="15"/>
        <v>29.077723290109745</v>
      </c>
      <c r="AR46" s="66">
        <f>+AR47*0.95</f>
        <v>249.63896181384243</v>
      </c>
      <c r="AS46" s="67">
        <f t="shared" ref="AS46:AW49" si="16">+AS37</f>
        <v>-63.385731801909337</v>
      </c>
      <c r="AT46" s="68">
        <f t="shared" si="16"/>
        <v>-48.407394093078786</v>
      </c>
      <c r="AU46" s="135">
        <f t="shared" si="16"/>
        <v>-35.925446002386643</v>
      </c>
      <c r="AV46" s="68">
        <f t="shared" si="16"/>
        <v>1.5203982696896805</v>
      </c>
      <c r="AW46" s="69">
        <f t="shared" si="16"/>
        <v>26.484294451073936</v>
      </c>
    </row>
    <row r="47" spans="2:49" ht="15.75" thickBot="1" x14ac:dyDescent="0.3">
      <c r="B47" s="81">
        <f>+B38</f>
        <v>40</v>
      </c>
      <c r="C47" s="67">
        <f>+(C$26*$B47-$G$13-$G$17)+'Wheat Grain'!$G$37+'Wheat Grain'!$G$42+$G$12-$G$51</f>
        <v>89.692125000000019</v>
      </c>
      <c r="D47" s="133">
        <f>+(D$26*$B47-$G$13-$G$17)+'Wheat Grain'!$G$37+'Wheat Grain'!$G$42+$G$12-$G$51</f>
        <v>108.69212500000002</v>
      </c>
      <c r="E47" s="137">
        <f>+(E$26*$B47-$G$13-$G$17)+'Wheat Grain'!$G$37+'Wheat Grain'!$G$42+$G$12-$G$51</f>
        <v>127.69212500000002</v>
      </c>
      <c r="F47" s="134">
        <f>+(F$26*$B47-$G$13-$G$17)+'Wheat Grain'!$G$37+'Wheat Grain'!$G$42+$G$12-$G$51</f>
        <v>146.69212500000003</v>
      </c>
      <c r="G47" s="69">
        <f>+(G$26*$B47-$G$13-$G$17)+'Wheat Grain'!$G$37+'Wheat Grain'!$G$42+$G$12-$G$51</f>
        <v>165.69212500000009</v>
      </c>
      <c r="I47" s="81">
        <f>+I38</f>
        <v>35</v>
      </c>
      <c r="J47" s="67">
        <f>+(J$26*$I47+$N$8-$N$13-$N$17)+'Wheat Dual  ~700Lb'!$G$37+'Wheat Dual  ~700Lb'!$G$42+$N$12-$N$51</f>
        <v>75.721905000000007</v>
      </c>
      <c r="K47" s="133">
        <f>+(K$26*$I47+$N$8-$N$13-$N$17)+'Wheat Dual  ~700Lb'!$G$37+'Wheat Dual  ~700Lb'!$G$42+$N$12-$N$51</f>
        <v>92.346905000000007</v>
      </c>
      <c r="L47" s="137">
        <f>+(L$26*$I47+$N$8-$N$13-$N$17)+'Wheat Dual  ~700Lb'!$G$37+'Wheat Dual  ~700Lb'!$G$42+$N$12-$N$51</f>
        <v>108.97190500000001</v>
      </c>
      <c r="M47" s="134">
        <f>+(M$26*$I47+$N$8-$N$13-$N$17)+'Wheat Dual  ~700Lb'!$G$37+'Wheat Dual  ~700Lb'!$G$42+$N$12-$N$51</f>
        <v>125.59690500000001</v>
      </c>
      <c r="N47" s="69">
        <f>+(N$26*$I47+$N$8-$N$13-$N$17)+'Wheat Dual  ~700Lb'!$G$37+'Wheat Dual  ~700Lb'!$G$42+$N$12-$N$51</f>
        <v>142.22190500000008</v>
      </c>
      <c r="P47" s="81">
        <f>+P38</f>
        <v>35</v>
      </c>
      <c r="Q47" s="67">
        <f>+(Q$26*$P47*$U$6+$U$8-$U$13-$U$17)+'Wheat Dual ~800Lb'!$G$37+'Wheat Dual ~800Lb'!$G$42+$U$12-$U$51*$U$6</f>
        <v>5.474405000000008</v>
      </c>
      <c r="R47" s="133">
        <f>+(R$26*$P47*$U$6+$U$8-$U$13-$U$17)+'Wheat Dual ~800Lb'!$G$37+'Wheat Dual ~800Lb'!$G$42+$U$12-$U$51*$U$6</f>
        <v>15.865030000000008</v>
      </c>
      <c r="S47" s="137">
        <f>+(S$26*$P47*$U$6+$U$8-$U$13-$U$17)+'Wheat Dual ~800Lb'!$G$37+'Wheat Dual ~800Lb'!$G$42+$U$12-$U$51*$U$6</f>
        <v>26.255655000000004</v>
      </c>
      <c r="T47" s="134">
        <f>+(T$26*$P47*$U$6+$U$8-$U$13-$U$17)+'Wheat Dual ~800Lb'!$G$37+'Wheat Dual ~800Lb'!$G$42+$U$12-$U$51*$U$6</f>
        <v>36.646280000000004</v>
      </c>
      <c r="U47" s="69">
        <f>+(U$26*$P47*$U$6+$U$8-$U$13-$U$17)+'Wheat Dual ~800Lb'!$G$37+'Wheat Dual ~800Lb'!$G$42+$U$12-$U$51*$U$6</f>
        <v>47.036905000000004</v>
      </c>
      <c r="W47" s="81">
        <f>+W38</f>
        <v>229.76666666666668</v>
      </c>
      <c r="X47" s="67">
        <f>+(X$26*$W47)-$AB$13-$AB$17+'Wheat Graze Out'!$G$37+'Wheat Graze Out'!$G$42</f>
        <v>-147.71641666666665</v>
      </c>
      <c r="Y47" s="133">
        <f>+(Y$26*$W47)-$AB$13-$AB$17+'Wheat Graze Out'!$G$37+'Wheat Graze Out'!$G$42</f>
        <v>-114.40024999999996</v>
      </c>
      <c r="Z47" s="137">
        <f>+(Z$26*$W47)-$AB$13-$AB$17+'Wheat Graze Out'!$G$37+'Wheat Graze Out'!$G$42</f>
        <v>-99.465416666666627</v>
      </c>
      <c r="AA47" s="134">
        <f>+(AA$26*$W47)-$AB$13-$AB$17+'Wheat Graze Out'!$G$37+'Wheat Graze Out'!$G$42</f>
        <v>-87.977083333333312</v>
      </c>
      <c r="AB47" s="69">
        <f>+(AB$26*$W47)-$AB$13-$AB$17+'Wheat Graze Out'!$G$37+'Wheat Graze Out'!$G$42</f>
        <v>-65.000416666666624</v>
      </c>
      <c r="AD47" s="265">
        <f>+AD38</f>
        <v>2.0727272727272728</v>
      </c>
      <c r="AE47" s="67">
        <f>+(AE$26*$AD47-$AI$11-$AI$17-$AD47*$AI$51)+'Wheat Grain'!$AI$37+'Wheat Grain'!$AI$42</f>
        <v>31.486670454545489</v>
      </c>
      <c r="AF47" s="133">
        <f>+(AF$26*$AD47-$AI$11-$AI$17-$AD47*$AI$51)+'Wheat Grain'!$AI$37+'Wheat Grain'!$AI$42</f>
        <v>50.141215909090917</v>
      </c>
      <c r="AG47" s="137">
        <f>+(AG$26*$AD47-$AI$11-$AI$17-$AD47*$AI$51)+'Wheat Grain'!$AI$37+'Wheat Grain'!$AI$42</f>
        <v>68.795761363636402</v>
      </c>
      <c r="AH47" s="134">
        <f>+(AH$26*$AD47-$AI$11-$AI$17-$AD47*$AI$51)+'Wheat Grain'!$AI$37+'Wheat Grain'!$AI$42</f>
        <v>87.450306818181815</v>
      </c>
      <c r="AI47" s="69">
        <f>+(AI$26*$AD47-$AI$11-$AI$17-$AD47*$AI$51)+'Wheat Grain'!$AI$37+'Wheat Grain'!$AI$42</f>
        <v>106.10485227272736</v>
      </c>
      <c r="AK47" s="81">
        <f>+AK38</f>
        <v>211.0497191011236</v>
      </c>
      <c r="AL47" s="67">
        <f t="shared" si="15"/>
        <v>-38.458186822249807</v>
      </c>
      <c r="AM47" s="133">
        <f t="shared" si="15"/>
        <v>-25.795203676182389</v>
      </c>
      <c r="AN47" s="137">
        <f t="shared" si="15"/>
        <v>5.8622541889861708</v>
      </c>
      <c r="AO47" s="134">
        <f t="shared" si="15"/>
        <v>16.414740144042341</v>
      </c>
      <c r="AP47" s="69">
        <f t="shared" si="15"/>
        <v>37.519712054154709</v>
      </c>
      <c r="AR47" s="81">
        <f>+AR38</f>
        <v>262.77785454088678</v>
      </c>
      <c r="AS47" s="67">
        <f t="shared" si="16"/>
        <v>-57.604619002009819</v>
      </c>
      <c r="AT47" s="133">
        <f t="shared" si="16"/>
        <v>-41.83794772955661</v>
      </c>
      <c r="AU47" s="137">
        <f t="shared" si="16"/>
        <v>-28.69905500251226</v>
      </c>
      <c r="AV47" s="134">
        <f t="shared" si="16"/>
        <v>10.717623178620729</v>
      </c>
      <c r="AW47" s="69">
        <f t="shared" si="16"/>
        <v>36.995408632709434</v>
      </c>
    </row>
    <row r="48" spans="2:49" x14ac:dyDescent="0.25">
      <c r="B48" s="66">
        <f>+B47*1.1</f>
        <v>44</v>
      </c>
      <c r="C48" s="67">
        <f>+(C$26*$B48-$G$13-$G$17)+'Wheat Grain'!$G$37+'Wheat Grain'!$G$42+$G$12-$G$51</f>
        <v>123.89212500000006</v>
      </c>
      <c r="D48" s="68">
        <f>+(D$26*$B48-$G$13-$G$17)+'Wheat Grain'!$G$37+'Wheat Grain'!$G$42+$G$12-$G$51</f>
        <v>144.79212500000006</v>
      </c>
      <c r="E48" s="136">
        <f>+(E$26*$B48-$G$13-$G$17)+'Wheat Grain'!$G$37+'Wheat Grain'!$G$42+$G$12-$G$51</f>
        <v>165.69212500000003</v>
      </c>
      <c r="F48" s="68">
        <f>+(F$26*$B48-$G$13-$G$17)+'Wheat Grain'!$G$37+'Wheat Grain'!$G$42+$G$12-$G$51</f>
        <v>186.59212500000001</v>
      </c>
      <c r="G48" s="69">
        <f>+(G$26*$B48-$G$13-$G$17)+'Wheat Grain'!$G$37+'Wheat Grain'!$G$42+$G$12-$G$51</f>
        <v>207.4921250000001</v>
      </c>
      <c r="I48" s="66">
        <f>+I47*1.1</f>
        <v>38.5</v>
      </c>
      <c r="J48" s="67">
        <f>+(J$26*$I48+$N$8-$N$13-$N$17)+'Wheat Dual  ~700Lb'!$G$37+'Wheat Dual  ~700Lb'!$G$42+$N$12-$N$51</f>
        <v>105.64690500000002</v>
      </c>
      <c r="K48" s="68">
        <f>+(K$26*$I48+$N$8-$N$13-$N$17)+'Wheat Dual  ~700Lb'!$G$37+'Wheat Dual  ~700Lb'!$G$42+$N$12-$N$51</f>
        <v>123.93440500000004</v>
      </c>
      <c r="L48" s="136">
        <f>+(L$26*$I48+$N$8-$N$13-$N$17)+'Wheat Dual  ~700Lb'!$G$37+'Wheat Dual  ~700Lb'!$G$42+$N$12-$N$51</f>
        <v>142.22190500000002</v>
      </c>
      <c r="M48" s="68">
        <f>+(M$26*$I48+$N$8-$N$13-$N$17)+'Wheat Dual  ~700Lb'!$G$37+'Wheat Dual  ~700Lb'!$G$42+$N$12-$N$51</f>
        <v>160.50940499999999</v>
      </c>
      <c r="N48" s="69">
        <f>+(N$26*$I48+$N$8-$N$13-$N$17)+'Wheat Dual  ~700Lb'!$G$37+'Wheat Dual  ~700Lb'!$G$42+$N$12-$N$51</f>
        <v>178.79690500000007</v>
      </c>
      <c r="P48" s="66">
        <f>+P47*1.1</f>
        <v>38.5</v>
      </c>
      <c r="Q48" s="67">
        <f>+(Q$26*$P48*$U$6+$U$8-$U$13-$U$17)+'Wheat Dual ~800Lb'!$G$37+'Wheat Dual ~800Lb'!$G$42+$U$12-$U$51*$U$6</f>
        <v>24.177530000000004</v>
      </c>
      <c r="R48" s="68">
        <f>+(R$26*$P48*$U$6+$U$8-$U$13-$U$17)+'Wheat Dual ~800Lb'!$G$37+'Wheat Dual ~800Lb'!$G$42+$U$12-$U$51*$U$6</f>
        <v>35.607217500000004</v>
      </c>
      <c r="S48" s="136">
        <f>+(S$26*$P48*$U$6+$U$8-$U$13-$U$17)+'Wheat Dual ~800Lb'!$G$37+'Wheat Dual ~800Lb'!$G$42+$U$12-$U$51*$U$6</f>
        <v>47.036905000000004</v>
      </c>
      <c r="T48" s="68">
        <f>+(T$26*$P48*$U$6+$U$8-$U$13-$U$17)+'Wheat Dual ~800Lb'!$G$37+'Wheat Dual ~800Lb'!$G$42+$U$12-$U$51*$U$6</f>
        <v>58.466592500000004</v>
      </c>
      <c r="U48" s="69">
        <f>+(U$26*$P48*$U$6+$U$8-$U$13-$U$17)+'Wheat Dual ~800Lb'!$G$37+'Wheat Dual ~800Lb'!$G$42+$U$12-$U$51*$U$6</f>
        <v>69.896280000000004</v>
      </c>
      <c r="W48" s="66">
        <f>+W47*1.05</f>
        <v>241.25500000000002</v>
      </c>
      <c r="X48" s="67">
        <f>+(X$26*$W48)-$AB$13-$AB$17+'Wheat Graze Out'!$G$37+'Wheat Graze Out'!$G$42</f>
        <v>-142.66154999999998</v>
      </c>
      <c r="Y48" s="68">
        <f>+(Y$26*$W48)-$AB$13-$AB$17+'Wheat Graze Out'!$G$37+'Wheat Graze Out'!$G$42</f>
        <v>-107.67957499999996</v>
      </c>
      <c r="Z48" s="136">
        <f>+(Z$26*$W48)-$AB$13-$AB$17+'Wheat Graze Out'!$G$37+'Wheat Graze Out'!$G$42</f>
        <v>-91.997999999999976</v>
      </c>
      <c r="AA48" s="68">
        <f>+(AA$26*$W48)-$AB$13-$AB$17+'Wheat Graze Out'!$G$37+'Wheat Graze Out'!$G$42</f>
        <v>-79.935249999999982</v>
      </c>
      <c r="AB48" s="69">
        <f>+(AB$26*$W48)-$AB$13-$AB$17+'Wheat Graze Out'!$G$37+'Wheat Graze Out'!$G$42</f>
        <v>-55.809749999999966</v>
      </c>
      <c r="AD48" s="264">
        <f>+AD47*1.1</f>
        <v>2.2800000000000002</v>
      </c>
      <c r="AE48" s="67">
        <f>+(AE$26*$AD48-$AI$11-$AI$17-$AD48*$AI$51)+'Wheat Grain'!$AI$37+'Wheat Grain'!$AI$42</f>
        <v>60.712125000000022</v>
      </c>
      <c r="AF48" s="68">
        <f>+(AF$26*$AD48-$AI$11-$AI$17-$AD48*$AI$51)+'Wheat Grain'!$AI$37+'Wheat Grain'!$AI$42</f>
        <v>81.232125000000053</v>
      </c>
      <c r="AG48" s="136">
        <f>+(AG$26*$AD48-$AI$11-$AI$17-$AD48*$AI$51)+'Wheat Grain'!$AI$37+'Wheat Grain'!$AI$42</f>
        <v>101.75212500000004</v>
      </c>
      <c r="AH48" s="68">
        <f>+(AH$26*$AD48-$AI$11-$AI$17-$AD48*$AI$51)+'Wheat Grain'!$AI$37+'Wheat Grain'!$AI$42</f>
        <v>122.27212500000007</v>
      </c>
      <c r="AI48" s="69">
        <f>+(AI$26*$AD48-$AI$11-$AI$17-$AD48*$AI$51)+'Wheat Grain'!$AI$37+'Wheat Grain'!$AI$42</f>
        <v>142.79212500000011</v>
      </c>
      <c r="AK48" s="66">
        <f>+AK47*1.05</f>
        <v>221.6022050561798</v>
      </c>
      <c r="AL48" s="67">
        <f t="shared" si="15"/>
        <v>-33.815093002025073</v>
      </c>
      <c r="AM48" s="68">
        <f t="shared" si="15"/>
        <v>-20.51896069865429</v>
      </c>
      <c r="AN48" s="136">
        <f t="shared" si="15"/>
        <v>12.721370059772696</v>
      </c>
      <c r="AO48" s="68">
        <f t="shared" si="15"/>
        <v>23.80148031258166</v>
      </c>
      <c r="AP48" s="69">
        <f t="shared" si="15"/>
        <v>45.961700818199674</v>
      </c>
      <c r="AR48" s="66">
        <f>+AR47*1.05</f>
        <v>275.91674726793116</v>
      </c>
      <c r="AS48" s="67">
        <f t="shared" si="16"/>
        <v>-51.823506202110288</v>
      </c>
      <c r="AT48" s="68">
        <f t="shared" si="16"/>
        <v>-35.268501366034421</v>
      </c>
      <c r="AU48" s="136">
        <f t="shared" si="16"/>
        <v>-21.472664002637856</v>
      </c>
      <c r="AV48" s="68">
        <f t="shared" si="16"/>
        <v>19.914848087551803</v>
      </c>
      <c r="AW48" s="69">
        <f t="shared" si="16"/>
        <v>47.506522814344926</v>
      </c>
    </row>
    <row r="49" spans="2:49" ht="15.75" thickBot="1" x14ac:dyDescent="0.3">
      <c r="B49" s="70">
        <f>+B47*1.2</f>
        <v>48</v>
      </c>
      <c r="C49" s="71">
        <f>+(C$26*$B49-$G$13-$G$17)+'Wheat Grain'!$G$37+'Wheat Grain'!$G$42+$G$12-$G$51</f>
        <v>158.09212500000007</v>
      </c>
      <c r="D49" s="72">
        <f>+(D$26*$B49-$G$13-$G$17)+'Wheat Grain'!$G$37+'Wheat Grain'!$G$42+$G$12-$G$51</f>
        <v>180.89212500000008</v>
      </c>
      <c r="E49" s="72">
        <f>+(E$26*$B49-$G$13-$G$17)+'Wheat Grain'!$G$37+'Wheat Grain'!$G$42+$G$12-$G$51</f>
        <v>203.69212500000003</v>
      </c>
      <c r="F49" s="72">
        <f>+(F$26*$B49-$G$13-$G$17)+'Wheat Grain'!$G$37+'Wheat Grain'!$G$42+$G$12-$G$51</f>
        <v>226.49212499999999</v>
      </c>
      <c r="G49" s="73">
        <f>+(G$26*$B49-$G$13-$G$17)+'Wheat Grain'!$G$37+'Wheat Grain'!$G$42+$G$12-$G$51</f>
        <v>249.29212500000006</v>
      </c>
      <c r="I49" s="70">
        <f>+I47*1.2</f>
        <v>42</v>
      </c>
      <c r="J49" s="71">
        <f>+(J$26*$I49+$N$8-$N$13-$N$17)+'Wheat Dual  ~700Lb'!$G$37+'Wheat Dual  ~700Lb'!$G$42+$N$12-$N$51</f>
        <v>135.57190500000004</v>
      </c>
      <c r="K49" s="72">
        <f>+(K$26*$I49+$N$8-$N$13-$N$17)+'Wheat Dual  ~700Lb'!$G$37+'Wheat Dual  ~700Lb'!$G$42+$N$12-$N$51</f>
        <v>155.52190500000003</v>
      </c>
      <c r="L49" s="72">
        <f>+(L$26*$I49+$N$8-$N$13-$N$17)+'Wheat Dual  ~700Lb'!$G$37+'Wheat Dual  ~700Lb'!$G$42+$N$12-$N$51</f>
        <v>175.47190500000002</v>
      </c>
      <c r="M49" s="72">
        <f>+(M$26*$I49+$N$8-$N$13-$N$17)+'Wheat Dual  ~700Lb'!$G$37+'Wheat Dual  ~700Lb'!$G$42+$N$12-$N$51</f>
        <v>195.42190499999998</v>
      </c>
      <c r="N49" s="73">
        <f>+(N$26*$I49+$N$8-$N$13-$N$17)+'Wheat Dual  ~700Lb'!$G$37+'Wheat Dual  ~700Lb'!$G$42+$N$12-$N$51</f>
        <v>215.37190500000003</v>
      </c>
      <c r="P49" s="70">
        <f>+P47*1.2</f>
        <v>42</v>
      </c>
      <c r="Q49" s="71">
        <f>+(Q$26*$P49*$U$6+$U$8-$U$13-$U$17)+'Wheat Dual ~800Lb'!$G$37+'Wheat Dual ~800Lb'!$G$42+$U$12-$U$51*$U$6</f>
        <v>42.880655000000004</v>
      </c>
      <c r="R49" s="72">
        <f>+(R$26*$P49*$U$6+$U$8-$U$13-$U$17)+'Wheat Dual ~800Lb'!$G$37+'Wheat Dual ~800Lb'!$G$42+$U$12-$U$51*$U$6</f>
        <v>55.349405000000004</v>
      </c>
      <c r="S49" s="72">
        <f>+(S$26*$P49*$U$6+$U$8-$U$13-$U$17)+'Wheat Dual ~800Lb'!$G$37+'Wheat Dual ~800Lb'!$G$42+$U$12-$U$51*$U$6</f>
        <v>67.818155000000004</v>
      </c>
      <c r="T49" s="72">
        <f>+(T$26*$P49*$U$6+$U$8-$U$13-$U$17)+'Wheat Dual ~800Lb'!$G$37+'Wheat Dual ~800Lb'!$G$42+$U$12-$U$51*$U$6</f>
        <v>80.286905000000004</v>
      </c>
      <c r="U49" s="73">
        <f>+(U$26*$P49*$U$6+$U$8-$U$13-$U$17)+'Wheat Dual ~800Lb'!$G$37+'Wheat Dual ~800Lb'!$G$42+$U$12-$U$51*$U$6</f>
        <v>92.755655000000004</v>
      </c>
      <c r="W49" s="70">
        <f>+W48*1.1</f>
        <v>265.38050000000004</v>
      </c>
      <c r="X49" s="71">
        <f>+(X$26*$W49)-$AB$13-$AB$17+'Wheat Graze Out'!$G$37+'Wheat Graze Out'!$G$42</f>
        <v>-132.04632999999998</v>
      </c>
      <c r="Y49" s="72">
        <f>+(Y$26*$W49)-$AB$13-$AB$17+'Wheat Graze Out'!$G$37+'Wheat Graze Out'!$G$42</f>
        <v>-93.566157499999932</v>
      </c>
      <c r="Z49" s="72">
        <f>+(Z$26*$W49)-$AB$13-$AB$17+'Wheat Graze Out'!$G$37+'Wheat Graze Out'!$G$42</f>
        <v>-76.316424999999938</v>
      </c>
      <c r="AA49" s="72">
        <f>+(AA$26*$W49)-$AB$13-$AB$17+'Wheat Graze Out'!$G$37+'Wheat Graze Out'!$G$42</f>
        <v>-63.047399999999968</v>
      </c>
      <c r="AB49" s="73">
        <f>+(AB$26*$W49)-$AB$13-$AB$17+'Wheat Graze Out'!$G$37+'Wheat Graze Out'!$G$42</f>
        <v>-36.509349999999941</v>
      </c>
      <c r="AD49" s="266">
        <f>+AD47*1.2</f>
        <v>2.4872727272727273</v>
      </c>
      <c r="AE49" s="71">
        <f>+(AE$26*$AD49-$AI$11-$AI$17-$AD49*$AI$51)+'Wheat Grain'!$AI$37+'Wheat Grain'!$AI$42</f>
        <v>89.93757954545454</v>
      </c>
      <c r="AF49" s="72">
        <f>+(AF$26*$AD49-$AI$11-$AI$17-$AD49*$AI$51)+'Wheat Grain'!$AI$37+'Wheat Grain'!$AI$42</f>
        <v>112.32303409090908</v>
      </c>
      <c r="AG49" s="72">
        <f>+(AG$26*$AD49-$AI$11-$AI$17-$AD49*$AI$51)+'Wheat Grain'!$AI$37+'Wheat Grain'!$AI$42</f>
        <v>134.7084886363636</v>
      </c>
      <c r="AH49" s="72">
        <f>+(AH$26*$AD49-$AI$11-$AI$17-$AD49*$AI$51)+'Wheat Grain'!$AI$37+'Wheat Grain'!$AI$42</f>
        <v>157.09394318181819</v>
      </c>
      <c r="AI49" s="73">
        <f>+(AI$26*$AD49-$AI$11-$AI$17-$AD49*$AI$51)+'Wheat Grain'!$AI$37+'Wheat Grain'!$AI$42</f>
        <v>179.47939772727278</v>
      </c>
      <c r="AK49" s="70">
        <f>+AK48*1.1</f>
        <v>243.76242556179778</v>
      </c>
      <c r="AL49" s="71">
        <f t="shared" si="15"/>
        <v>-24.064595979553168</v>
      </c>
      <c r="AM49" s="72">
        <f t="shared" si="15"/>
        <v>-9.43885044584529</v>
      </c>
      <c r="AN49" s="72">
        <f t="shared" si="15"/>
        <v>27.12551338842438</v>
      </c>
      <c r="AO49" s="72">
        <f t="shared" si="15"/>
        <v>39.313634666514261</v>
      </c>
      <c r="AP49" s="73">
        <f t="shared" si="15"/>
        <v>63.689877222694051</v>
      </c>
      <c r="AR49" s="70">
        <f>+AR48*1.1</f>
        <v>303.5084219947243</v>
      </c>
      <c r="AS49" s="71">
        <f t="shared" si="16"/>
        <v>-39.683169322321298</v>
      </c>
      <c r="AT49" s="72">
        <f t="shared" si="16"/>
        <v>-21.472664002637856</v>
      </c>
      <c r="AU49" s="72">
        <f t="shared" si="16"/>
        <v>-6.2972429029016137</v>
      </c>
      <c r="AV49" s="72">
        <f t="shared" si="16"/>
        <v>39.229020396307</v>
      </c>
      <c r="AW49" s="73">
        <f t="shared" si="16"/>
        <v>69.579862595779446</v>
      </c>
    </row>
    <row r="50" spans="2:49" ht="15.75" thickTop="1" x14ac:dyDescent="0.25"/>
    <row r="51" spans="2:49" x14ac:dyDescent="0.25">
      <c r="B51" s="1" t="s">
        <v>115</v>
      </c>
      <c r="G51" s="278">
        <v>16.2</v>
      </c>
      <c r="I51" s="1" t="s">
        <v>115</v>
      </c>
      <c r="N51" s="93">
        <v>16.2</v>
      </c>
      <c r="P51" s="1" t="s">
        <v>115</v>
      </c>
      <c r="U51" s="93">
        <v>16.2</v>
      </c>
      <c r="W51" s="1" t="s">
        <v>115</v>
      </c>
      <c r="AB51" s="278">
        <v>16.2</v>
      </c>
      <c r="AD51" s="1" t="s">
        <v>115</v>
      </c>
      <c r="AI51" s="278">
        <v>21</v>
      </c>
      <c r="AK51" s="1" t="s">
        <v>115</v>
      </c>
      <c r="AP51" s="278">
        <v>16.2</v>
      </c>
      <c r="AR51" s="1" t="s">
        <v>115</v>
      </c>
      <c r="AW51" s="278">
        <v>16.2</v>
      </c>
    </row>
  </sheetData>
  <sheetProtection sheet="1" objects="1" scenarios="1"/>
  <mergeCells count="47">
    <mergeCell ref="B24:G24"/>
    <mergeCell ref="I24:N24"/>
    <mergeCell ref="P24:U24"/>
    <mergeCell ref="W24:AB24"/>
    <mergeCell ref="AK24:AP24"/>
    <mergeCell ref="AD24:AI24"/>
    <mergeCell ref="B2:G2"/>
    <mergeCell ref="I2:N2"/>
    <mergeCell ref="P2:U2"/>
    <mergeCell ref="W2:AB2"/>
    <mergeCell ref="AK2:AP2"/>
    <mergeCell ref="AD2:AI2"/>
    <mergeCell ref="C25:G25"/>
    <mergeCell ref="X25:AB25"/>
    <mergeCell ref="AL25:AP25"/>
    <mergeCell ref="B33:G33"/>
    <mergeCell ref="I33:N33"/>
    <mergeCell ref="P33:U33"/>
    <mergeCell ref="W33:AB33"/>
    <mergeCell ref="AK33:AP33"/>
    <mergeCell ref="AE25:AI25"/>
    <mergeCell ref="AD33:AI33"/>
    <mergeCell ref="C34:G34"/>
    <mergeCell ref="J34:N34"/>
    <mergeCell ref="Q34:U34"/>
    <mergeCell ref="X34:AB34"/>
    <mergeCell ref="AL34:AP34"/>
    <mergeCell ref="AE34:AI34"/>
    <mergeCell ref="AR2:AW2"/>
    <mergeCell ref="AR24:AW24"/>
    <mergeCell ref="AS25:AW25"/>
    <mergeCell ref="AR33:AW33"/>
    <mergeCell ref="AS34:AW34"/>
    <mergeCell ref="AR42:AW42"/>
    <mergeCell ref="AS43:AW43"/>
    <mergeCell ref="C43:G43"/>
    <mergeCell ref="J43:N43"/>
    <mergeCell ref="Q43:U43"/>
    <mergeCell ref="X43:AB43"/>
    <mergeCell ref="AL43:AP43"/>
    <mergeCell ref="B42:G42"/>
    <mergeCell ref="I42:N42"/>
    <mergeCell ref="P42:U42"/>
    <mergeCell ref="W42:AB42"/>
    <mergeCell ref="AK42:AP42"/>
    <mergeCell ref="AD42:AI42"/>
    <mergeCell ref="AE43:AI43"/>
  </mergeCells>
  <conditionalFormatting sqref="C27:G31">
    <cfRule type="colorScale" priority="91">
      <colorScale>
        <cfvo type="min"/>
        <cfvo type="max"/>
        <color theme="0" tint="-4.9989318521683403E-2"/>
        <color theme="0" tint="-0.34998626667073579"/>
      </colorScale>
    </cfRule>
    <cfRule type="colorScale" priority="92">
      <colorScale>
        <cfvo type="min"/>
        <cfvo type="max"/>
        <color rgb="FFFCFCFF"/>
        <color rgb="FF63BE7B"/>
      </colorScale>
    </cfRule>
  </conditionalFormatting>
  <conditionalFormatting sqref="Q27:U31">
    <cfRule type="colorScale" priority="89">
      <colorScale>
        <cfvo type="min"/>
        <cfvo type="max"/>
        <color theme="0" tint="-4.9989318521683403E-2"/>
        <color theme="0" tint="-0.34998626667073579"/>
      </colorScale>
    </cfRule>
    <cfRule type="colorScale" priority="90">
      <colorScale>
        <cfvo type="min"/>
        <cfvo type="max"/>
        <color rgb="FFFCFCFF"/>
        <color rgb="FF63BE7B"/>
      </colorScale>
    </cfRule>
  </conditionalFormatting>
  <conditionalFormatting sqref="X27:AB31">
    <cfRule type="colorScale" priority="87">
      <colorScale>
        <cfvo type="min"/>
        <cfvo type="max"/>
        <color theme="0" tint="-4.9989318521683403E-2"/>
        <color theme="0" tint="-0.34998626667073579"/>
      </colorScale>
    </cfRule>
    <cfRule type="colorScale" priority="88">
      <colorScale>
        <cfvo type="min"/>
        <cfvo type="max"/>
        <color rgb="FFFCFCFF"/>
        <color rgb="FF63BE7B"/>
      </colorScale>
    </cfRule>
  </conditionalFormatting>
  <conditionalFormatting sqref="C36:G41">
    <cfRule type="colorScale" priority="93">
      <colorScale>
        <cfvo type="min"/>
        <cfvo type="max"/>
        <color theme="0" tint="-4.9989318521683403E-2"/>
        <color theme="0" tint="-0.34998626667073579"/>
      </colorScale>
    </cfRule>
    <cfRule type="colorScale" priority="94">
      <colorScale>
        <cfvo type="min"/>
        <cfvo type="max"/>
        <color rgb="FFFCFCFF"/>
        <color rgb="FF63BE7B"/>
      </colorScale>
    </cfRule>
  </conditionalFormatting>
  <conditionalFormatting sqref="Q36:U41">
    <cfRule type="colorScale" priority="95">
      <colorScale>
        <cfvo type="min"/>
        <cfvo type="max"/>
        <color theme="0" tint="-4.9989318521683403E-2"/>
        <color theme="0" tint="-0.34998626667073579"/>
      </colorScale>
    </cfRule>
    <cfRule type="colorScale" priority="96">
      <colorScale>
        <cfvo type="min"/>
        <cfvo type="max"/>
        <color rgb="FFFCFCFF"/>
        <color rgb="FF63BE7B"/>
      </colorScale>
    </cfRule>
  </conditionalFormatting>
  <conditionalFormatting sqref="X36:AB41">
    <cfRule type="colorScale" priority="97">
      <colorScale>
        <cfvo type="min"/>
        <cfvo type="max"/>
        <color theme="0" tint="-4.9989318521683403E-2"/>
        <color theme="0" tint="-0.34998626667073579"/>
      </colorScale>
    </cfRule>
    <cfRule type="colorScale" priority="98">
      <colorScale>
        <cfvo type="min"/>
        <cfvo type="max"/>
        <color rgb="FFFCFCFF"/>
        <color rgb="FF63BE7B"/>
      </colorScale>
    </cfRule>
  </conditionalFormatting>
  <conditionalFormatting sqref="C45:G49">
    <cfRule type="colorScale" priority="85">
      <colorScale>
        <cfvo type="min"/>
        <cfvo type="max"/>
        <color theme="0" tint="-4.9989318521683403E-2"/>
        <color theme="0" tint="-0.34998626667073579"/>
      </colorScale>
    </cfRule>
    <cfRule type="colorScale" priority="86">
      <colorScale>
        <cfvo type="min"/>
        <cfvo type="max"/>
        <color rgb="FFFCFCFF"/>
        <color rgb="FF63BE7B"/>
      </colorScale>
    </cfRule>
  </conditionalFormatting>
  <conditionalFormatting sqref="Q45:U49">
    <cfRule type="colorScale" priority="83">
      <colorScale>
        <cfvo type="min"/>
        <cfvo type="max"/>
        <color theme="0" tint="-4.9989318521683403E-2"/>
        <color theme="0" tint="-0.34998626667073579"/>
      </colorScale>
    </cfRule>
    <cfRule type="colorScale" priority="84">
      <colorScale>
        <cfvo type="min"/>
        <cfvo type="max"/>
        <color rgb="FFFCFCFF"/>
        <color rgb="FF63BE7B"/>
      </colorScale>
    </cfRule>
  </conditionalFormatting>
  <conditionalFormatting sqref="X45:AB49">
    <cfRule type="colorScale" priority="81">
      <colorScale>
        <cfvo type="min"/>
        <cfvo type="max"/>
        <color theme="0" tint="-4.9989318521683403E-2"/>
        <color theme="0" tint="-0.34998626667073579"/>
      </colorScale>
    </cfRule>
    <cfRule type="colorScale" priority="82">
      <colorScale>
        <cfvo type="min"/>
        <cfvo type="max"/>
        <color rgb="FFFCFCFF"/>
        <color rgb="FF63BE7B"/>
      </colorScale>
    </cfRule>
  </conditionalFormatting>
  <conditionalFormatting sqref="J27:N31">
    <cfRule type="colorScale" priority="77">
      <colorScale>
        <cfvo type="min"/>
        <cfvo type="max"/>
        <color theme="0" tint="-4.9989318521683403E-2"/>
        <color theme="0" tint="-0.34998626667073579"/>
      </colorScale>
    </cfRule>
    <cfRule type="colorScale" priority="78">
      <colorScale>
        <cfvo type="min"/>
        <cfvo type="max"/>
        <color rgb="FFFCFCFF"/>
        <color rgb="FF63BE7B"/>
      </colorScale>
    </cfRule>
  </conditionalFormatting>
  <conditionalFormatting sqref="J36:N41">
    <cfRule type="colorScale" priority="79">
      <colorScale>
        <cfvo type="min"/>
        <cfvo type="max"/>
        <color theme="0" tint="-4.9989318521683403E-2"/>
        <color theme="0" tint="-0.34998626667073579"/>
      </colorScale>
    </cfRule>
    <cfRule type="colorScale" priority="80">
      <colorScale>
        <cfvo type="min"/>
        <cfvo type="max"/>
        <color rgb="FFFCFCFF"/>
        <color rgb="FF63BE7B"/>
      </colorScale>
    </cfRule>
  </conditionalFormatting>
  <conditionalFormatting sqref="J45:N49">
    <cfRule type="colorScale" priority="75">
      <colorScale>
        <cfvo type="min"/>
        <cfvo type="max"/>
        <color theme="0" tint="-4.9989318521683403E-2"/>
        <color theme="0" tint="-0.34998626667073579"/>
      </colorScale>
    </cfRule>
    <cfRule type="colorScale" priority="76">
      <colorScale>
        <cfvo type="min"/>
        <cfvo type="max"/>
        <color rgb="FFFCFCFF"/>
        <color rgb="FF63BE7B"/>
      </colorScale>
    </cfRule>
  </conditionalFormatting>
  <conditionalFormatting sqref="AL41:AP41">
    <cfRule type="colorScale" priority="73">
      <colorScale>
        <cfvo type="min"/>
        <cfvo type="max"/>
        <color theme="0" tint="-4.9989318521683403E-2"/>
        <color theme="0" tint="-0.34998626667073579"/>
      </colorScale>
    </cfRule>
    <cfRule type="colorScale" priority="74">
      <colorScale>
        <cfvo type="min"/>
        <cfvo type="max"/>
        <color rgb="FFFCFCFF"/>
        <color rgb="FF63BE7B"/>
      </colorScale>
    </cfRule>
  </conditionalFormatting>
  <conditionalFormatting sqref="AL27:AP31">
    <cfRule type="colorScale" priority="71">
      <colorScale>
        <cfvo type="min"/>
        <cfvo type="max"/>
        <color theme="0" tint="-4.9989318521683403E-2"/>
        <color theme="0" tint="-0.34998626667073579"/>
      </colorScale>
    </cfRule>
    <cfRule type="colorScale" priority="72">
      <colorScale>
        <cfvo type="min"/>
        <cfvo type="max"/>
        <color rgb="FFFCFCFF"/>
        <color rgb="FF63BE7B"/>
      </colorScale>
    </cfRule>
  </conditionalFormatting>
  <conditionalFormatting sqref="AL36:AP40">
    <cfRule type="colorScale" priority="69">
      <colorScale>
        <cfvo type="min"/>
        <cfvo type="max"/>
        <color theme="0" tint="-4.9989318521683403E-2"/>
        <color theme="0" tint="-0.34998626667073579"/>
      </colorScale>
    </cfRule>
    <cfRule type="colorScale" priority="70">
      <colorScale>
        <cfvo type="min"/>
        <cfvo type="max"/>
        <color rgb="FFFCFCFF"/>
        <color rgb="FF63BE7B"/>
      </colorScale>
    </cfRule>
  </conditionalFormatting>
  <conditionalFormatting sqref="AL45:AP49">
    <cfRule type="colorScale" priority="67">
      <colorScale>
        <cfvo type="min"/>
        <cfvo type="max"/>
        <color theme="0" tint="-4.9989318521683403E-2"/>
        <color theme="0" tint="-0.34998626667073579"/>
      </colorScale>
    </cfRule>
    <cfRule type="colorScale" priority="68">
      <colorScale>
        <cfvo type="min"/>
        <cfvo type="max"/>
        <color rgb="FFFCFCFF"/>
        <color rgb="FF63BE7B"/>
      </colorScale>
    </cfRule>
  </conditionalFormatting>
  <conditionalFormatting sqref="C27:G31 J27:N31 Q27:U31 X27:AB31 AL27:AP31">
    <cfRule type="colorScale" priority="6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6:G40 J36:N40 Q36:U40 AL36:AP40 X36:AB40">
    <cfRule type="colorScale" priority="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5:G49 J45:N49 Q45:U49 X45:AB49 AL45:AP49">
    <cfRule type="colorScale" priority="6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L36:AP40">
    <cfRule type="colorScale" priority="62">
      <colorScale>
        <cfvo type="min"/>
        <cfvo type="max"/>
        <color theme="0" tint="-4.9989318521683403E-2"/>
        <color theme="0" tint="-0.34998626667073579"/>
      </colorScale>
    </cfRule>
    <cfRule type="colorScale" priority="63">
      <colorScale>
        <cfvo type="min"/>
        <cfvo type="max"/>
        <color rgb="FFFCFCFF"/>
        <color rgb="FF63BE7B"/>
      </colorScale>
    </cfRule>
  </conditionalFormatting>
  <conditionalFormatting sqref="AL36:AP40">
    <cfRule type="colorScale" priority="60">
      <colorScale>
        <cfvo type="min"/>
        <cfvo type="max"/>
        <color theme="0" tint="-4.9989318521683403E-2"/>
        <color theme="0" tint="-0.34998626667073579"/>
      </colorScale>
    </cfRule>
    <cfRule type="colorScale" priority="61">
      <colorScale>
        <cfvo type="min"/>
        <cfvo type="max"/>
        <color rgb="FFFCFCFF"/>
        <color rgb="FF63BE7B"/>
      </colorScale>
    </cfRule>
  </conditionalFormatting>
  <conditionalFormatting sqref="AS41:AW41">
    <cfRule type="colorScale" priority="57">
      <colorScale>
        <cfvo type="min"/>
        <cfvo type="max"/>
        <color theme="0" tint="-4.9989318521683403E-2"/>
        <color theme="0" tint="-0.34998626667073579"/>
      </colorScale>
    </cfRule>
    <cfRule type="colorScale" priority="58">
      <colorScale>
        <cfvo type="min"/>
        <cfvo type="max"/>
        <color rgb="FFFCFCFF"/>
        <color rgb="FF63BE7B"/>
      </colorScale>
    </cfRule>
  </conditionalFormatting>
  <conditionalFormatting sqref="AS45:AW49">
    <cfRule type="colorScale" priority="55">
      <colorScale>
        <cfvo type="min"/>
        <cfvo type="max"/>
        <color theme="0" tint="-4.9989318521683403E-2"/>
        <color theme="0" tint="-0.34998626667073579"/>
      </colorScale>
    </cfRule>
    <cfRule type="colorScale" priority="56">
      <colorScale>
        <cfvo type="min"/>
        <cfvo type="max"/>
        <color rgb="FFFCFCFF"/>
        <color rgb="FF63BE7B"/>
      </colorScale>
    </cfRule>
  </conditionalFormatting>
  <conditionalFormatting sqref="AS45:AW49">
    <cfRule type="colorScale" priority="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S27:AW31">
    <cfRule type="colorScale" priority="52">
      <colorScale>
        <cfvo type="min"/>
        <cfvo type="max"/>
        <color theme="0" tint="-4.9989318521683403E-2"/>
        <color theme="0" tint="-0.34998626667073579"/>
      </colorScale>
    </cfRule>
    <cfRule type="colorScale" priority="53">
      <colorScale>
        <cfvo type="min"/>
        <cfvo type="max"/>
        <color rgb="FFFCFCFF"/>
        <color rgb="FF63BE7B"/>
      </colorScale>
    </cfRule>
  </conditionalFormatting>
  <conditionalFormatting sqref="AS27:AW31">
    <cfRule type="colorScale" priority="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S36:AW40">
    <cfRule type="colorScale" priority="49">
      <colorScale>
        <cfvo type="min"/>
        <cfvo type="max"/>
        <color theme="0" tint="-4.9989318521683403E-2"/>
        <color theme="0" tint="-0.34998626667073579"/>
      </colorScale>
    </cfRule>
    <cfRule type="colorScale" priority="50">
      <colorScale>
        <cfvo type="min"/>
        <cfvo type="max"/>
        <color rgb="FFFCFCFF"/>
        <color rgb="FF63BE7B"/>
      </colorScale>
    </cfRule>
  </conditionalFormatting>
  <conditionalFormatting sqref="AS36:AW40">
    <cfRule type="colorScale" priority="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S27:AW31">
    <cfRule type="colorScale" priority="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S36:AW40">
    <cfRule type="colorScale" priority="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S45:AW49">
    <cfRule type="colorScale" priority="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6:G40 J36:N40 Q36:U40 AL36:AP40 AS36:AW40 X36:AB40">
    <cfRule type="colorScale" priority="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41:AI41">
    <cfRule type="colorScale" priority="25">
      <colorScale>
        <cfvo type="min"/>
        <cfvo type="max"/>
        <color theme="0" tint="-4.9989318521683403E-2"/>
        <color theme="0" tint="-0.34998626667073579"/>
      </colorScale>
    </cfRule>
    <cfRule type="colorScale" priority="26">
      <colorScale>
        <cfvo type="min"/>
        <cfvo type="max"/>
        <color rgb="FFFCFCFF"/>
        <color rgb="FF63BE7B"/>
      </colorScale>
    </cfRule>
  </conditionalFormatting>
  <conditionalFormatting sqref="AE27:AI31">
    <cfRule type="colorScale" priority="10">
      <colorScale>
        <cfvo type="min"/>
        <cfvo type="max"/>
        <color theme="0" tint="-4.9989318521683403E-2"/>
        <color theme="0" tint="-0.34998626667073579"/>
      </colorScale>
    </cfRule>
    <cfRule type="colorScale" priority="11">
      <colorScale>
        <cfvo type="min"/>
        <cfvo type="max"/>
        <color rgb="FFFCFCFF"/>
        <color rgb="FF63BE7B"/>
      </colorScale>
    </cfRule>
  </conditionalFormatting>
  <conditionalFormatting sqref="AE27:AI31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27:AI31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36:AI40">
    <cfRule type="colorScale" priority="6">
      <colorScale>
        <cfvo type="min"/>
        <cfvo type="max"/>
        <color theme="0" tint="-4.9989318521683403E-2"/>
        <color theme="0" tint="-0.34998626667073579"/>
      </colorScale>
    </cfRule>
    <cfRule type="colorScale" priority="7">
      <colorScale>
        <cfvo type="min"/>
        <cfvo type="max"/>
        <color rgb="FFFCFCFF"/>
        <color rgb="FF63BE7B"/>
      </colorScale>
    </cfRule>
  </conditionalFormatting>
  <conditionalFormatting sqref="AE36:AI40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36:AI4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45:AI49">
    <cfRule type="colorScale" priority="2">
      <colorScale>
        <cfvo type="min"/>
        <cfvo type="max"/>
        <color theme="0" tint="-4.9989318521683403E-2"/>
        <color theme="0" tint="-0.34998626667073579"/>
      </colorScale>
    </cfRule>
    <cfRule type="colorScale" priority="3">
      <colorScale>
        <cfvo type="min"/>
        <cfvo type="max"/>
        <color rgb="FFFCFCFF"/>
        <color rgb="FF63BE7B"/>
      </colorScale>
    </cfRule>
  </conditionalFormatting>
  <conditionalFormatting sqref="AE45:AI4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D98E7-8562-4735-96E0-F7798E7DECC3}">
  <dimension ref="A1:R46"/>
  <sheetViews>
    <sheetView workbookViewId="0">
      <selection activeCell="O15" sqref="O15:Q15"/>
    </sheetView>
  </sheetViews>
  <sheetFormatPr defaultColWidth="8.85546875" defaultRowHeight="15" x14ac:dyDescent="0.25"/>
  <cols>
    <col min="1" max="1" width="15.140625" style="1" customWidth="1"/>
    <col min="2" max="6" width="6.28515625" style="1" customWidth="1"/>
    <col min="7" max="7" width="7.85546875" style="1" customWidth="1"/>
    <col min="8" max="8" width="5.85546875" style="1" customWidth="1"/>
    <col min="9" max="14" width="6.28515625" style="1" customWidth="1"/>
    <col min="15" max="15" width="8.85546875" style="1"/>
    <col min="16" max="16" width="0" style="1" hidden="1" customWidth="1"/>
    <col min="17" max="16384" width="8.85546875" style="1"/>
  </cols>
  <sheetData>
    <row r="1" spans="2:16" ht="15.75" thickBot="1" x14ac:dyDescent="0.3"/>
    <row r="2" spans="2:16" x14ac:dyDescent="0.25">
      <c r="B2" s="358" t="s">
        <v>57</v>
      </c>
      <c r="C2" s="359"/>
      <c r="D2" s="359"/>
      <c r="E2" s="359"/>
      <c r="F2" s="359"/>
      <c r="G2" s="360"/>
      <c r="I2" s="358" t="s">
        <v>172</v>
      </c>
      <c r="J2" s="359"/>
      <c r="K2" s="359"/>
      <c r="L2" s="359"/>
      <c r="M2" s="359"/>
      <c r="N2" s="360"/>
    </row>
    <row r="3" spans="2:16" x14ac:dyDescent="0.25">
      <c r="B3" s="12" t="s">
        <v>84</v>
      </c>
      <c r="C3" s="16"/>
      <c r="D3" s="16"/>
      <c r="E3" s="16"/>
      <c r="F3" s="16"/>
      <c r="G3" s="45">
        <f>+'Wheat Grain'!D3</f>
        <v>40</v>
      </c>
      <c r="I3" s="12" t="s">
        <v>173</v>
      </c>
      <c r="J3" s="16"/>
      <c r="K3" s="16"/>
      <c r="L3" s="16"/>
      <c r="M3" s="16"/>
      <c r="N3" s="245">
        <f>+I29</f>
        <v>2.0727272727272728</v>
      </c>
    </row>
    <row r="4" spans="2:16" hidden="1" x14ac:dyDescent="0.25">
      <c r="B4" s="12" t="s">
        <v>85</v>
      </c>
      <c r="C4" s="16"/>
      <c r="D4" s="16"/>
      <c r="E4" s="16"/>
      <c r="F4" s="16"/>
      <c r="G4" s="45">
        <v>0</v>
      </c>
      <c r="I4" s="12"/>
      <c r="J4" s="16"/>
      <c r="K4" s="16"/>
      <c r="L4" s="16"/>
      <c r="M4" s="16"/>
      <c r="N4" s="45"/>
    </row>
    <row r="5" spans="2:16" x14ac:dyDescent="0.25">
      <c r="B5" s="12" t="s">
        <v>178</v>
      </c>
      <c r="C5" s="16"/>
      <c r="D5" s="16"/>
      <c r="E5" s="16"/>
      <c r="F5" s="16"/>
      <c r="G5" s="49">
        <f>+Assumptions!F14</f>
        <v>9.5</v>
      </c>
      <c r="I5" s="12" t="s">
        <v>197</v>
      </c>
      <c r="J5" s="16"/>
      <c r="K5" s="16"/>
      <c r="L5" s="16"/>
      <c r="M5" s="16"/>
      <c r="N5" s="246">
        <v>180</v>
      </c>
    </row>
    <row r="6" spans="2:16" hidden="1" x14ac:dyDescent="0.25">
      <c r="B6" s="12" t="s">
        <v>63</v>
      </c>
      <c r="C6" s="16"/>
      <c r="D6" s="16"/>
      <c r="E6" s="16"/>
      <c r="F6" s="16"/>
      <c r="G6" s="50">
        <v>1</v>
      </c>
      <c r="I6" s="12" t="s">
        <v>63</v>
      </c>
      <c r="J6" s="16"/>
      <c r="K6" s="16"/>
      <c r="L6" s="16"/>
      <c r="M6" s="16"/>
      <c r="N6" s="50">
        <v>1</v>
      </c>
    </row>
    <row r="7" spans="2:16" hidden="1" x14ac:dyDescent="0.25">
      <c r="B7" s="12" t="s">
        <v>64</v>
      </c>
      <c r="C7" s="16"/>
      <c r="D7" s="16"/>
      <c r="E7" s="16"/>
      <c r="F7" s="16"/>
      <c r="G7" s="54">
        <f>+G5*G3</f>
        <v>380</v>
      </c>
      <c r="I7" s="12" t="s">
        <v>64</v>
      </c>
      <c r="J7" s="16"/>
      <c r="K7" s="16"/>
      <c r="L7" s="16"/>
      <c r="M7" s="16"/>
      <c r="N7" s="54">
        <f>+N5*N3</f>
        <v>373.09090909090912</v>
      </c>
    </row>
    <row r="8" spans="2:16" hidden="1" x14ac:dyDescent="0.25">
      <c r="B8" s="12"/>
      <c r="C8" s="16"/>
      <c r="D8" s="16"/>
      <c r="E8" s="16"/>
      <c r="F8" s="16"/>
      <c r="G8" s="39"/>
      <c r="I8" s="12"/>
      <c r="J8" s="16"/>
      <c r="K8" s="16"/>
      <c r="L8" s="16"/>
      <c r="M8" s="16"/>
      <c r="N8" s="39"/>
    </row>
    <row r="9" spans="2:16" x14ac:dyDescent="0.25">
      <c r="B9" s="42" t="s">
        <v>72</v>
      </c>
      <c r="C9" s="55"/>
      <c r="D9" s="55"/>
      <c r="E9" s="55"/>
      <c r="F9" s="55"/>
      <c r="G9" s="57">
        <f>+G7+G8</f>
        <v>380</v>
      </c>
      <c r="I9" s="42" t="s">
        <v>72</v>
      </c>
      <c r="J9" s="55"/>
      <c r="K9" s="55"/>
      <c r="L9" s="55"/>
      <c r="M9" s="55"/>
      <c r="N9" s="57">
        <f>+N7+N8</f>
        <v>373.09090909090912</v>
      </c>
    </row>
    <row r="10" spans="2:16" ht="3.75" customHeight="1" x14ac:dyDescent="0.25">
      <c r="B10" s="12"/>
      <c r="C10" s="16"/>
      <c r="D10" s="16"/>
      <c r="E10" s="16"/>
      <c r="F10" s="16"/>
      <c r="G10" s="13"/>
      <c r="I10" s="12"/>
      <c r="J10" s="16"/>
      <c r="K10" s="16"/>
      <c r="L10" s="16"/>
      <c r="M10" s="16"/>
      <c r="N10" s="13"/>
    </row>
    <row r="11" spans="2:16" x14ac:dyDescent="0.25">
      <c r="B11" s="12" t="s">
        <v>11</v>
      </c>
      <c r="C11" s="16"/>
      <c r="D11" s="16"/>
      <c r="E11" s="16"/>
      <c r="F11" s="16"/>
      <c r="G11" s="58">
        <f>+'Wheat Grain'!G22</f>
        <v>196.09787499999999</v>
      </c>
      <c r="I11" s="12" t="s">
        <v>11</v>
      </c>
      <c r="J11" s="16"/>
      <c r="K11" s="16"/>
      <c r="L11" s="16"/>
      <c r="M11" s="16"/>
      <c r="N11" s="58">
        <f>+G11</f>
        <v>196.09787499999999</v>
      </c>
      <c r="P11" s="1" t="s">
        <v>179</v>
      </c>
    </row>
    <row r="12" spans="2:16" x14ac:dyDescent="0.25">
      <c r="B12" s="12" t="s">
        <v>61</v>
      </c>
      <c r="C12" s="16"/>
      <c r="D12" s="16"/>
      <c r="E12" s="16"/>
      <c r="F12" s="16"/>
      <c r="G12" s="58">
        <f>+'Wheat Grain'!G27</f>
        <v>49.6</v>
      </c>
      <c r="I12" s="12" t="s">
        <v>174</v>
      </c>
      <c r="J12" s="16"/>
      <c r="K12" s="16"/>
      <c r="L12" s="16"/>
      <c r="M12" s="16"/>
      <c r="N12" s="58">
        <f>+N3*Assumptions!F38</f>
        <v>91.407272727272726</v>
      </c>
      <c r="P12" s="7">
        <f>+Assumptions!F38</f>
        <v>44.1</v>
      </c>
    </row>
    <row r="13" spans="2:16" x14ac:dyDescent="0.25">
      <c r="B13" s="41" t="s">
        <v>33</v>
      </c>
      <c r="C13" s="47"/>
      <c r="D13" s="47"/>
      <c r="E13" s="47"/>
      <c r="F13" s="47"/>
      <c r="G13" s="59">
        <f>+G11+G12</f>
        <v>245.69787499999998</v>
      </c>
      <c r="I13" s="41" t="s">
        <v>33</v>
      </c>
      <c r="J13" s="47"/>
      <c r="K13" s="47"/>
      <c r="L13" s="47"/>
      <c r="M13" s="47"/>
      <c r="N13" s="59">
        <f>+N11+N12</f>
        <v>287.50514772727274</v>
      </c>
    </row>
    <row r="14" spans="2:16" ht="4.5" customHeight="1" x14ac:dyDescent="0.25">
      <c r="B14" s="12"/>
      <c r="C14" s="16"/>
      <c r="D14" s="16"/>
      <c r="E14" s="16"/>
      <c r="F14" s="16"/>
      <c r="G14" s="13"/>
      <c r="I14" s="12"/>
      <c r="J14" s="16"/>
      <c r="K14" s="16"/>
      <c r="L14" s="16"/>
      <c r="M14" s="16"/>
      <c r="N14" s="13"/>
    </row>
    <row r="15" spans="2:16" x14ac:dyDescent="0.25">
      <c r="B15" s="42" t="s">
        <v>74</v>
      </c>
      <c r="C15" s="55"/>
      <c r="D15" s="55"/>
      <c r="E15" s="55"/>
      <c r="F15" s="55"/>
      <c r="G15" s="97">
        <f>+G9-G13</f>
        <v>134.30212500000002</v>
      </c>
      <c r="I15" s="42" t="s">
        <v>74</v>
      </c>
      <c r="J15" s="55"/>
      <c r="K15" s="55"/>
      <c r="L15" s="55"/>
      <c r="M15" s="55"/>
      <c r="N15" s="97">
        <f>+N9-N13</f>
        <v>85.585761363636379</v>
      </c>
    </row>
    <row r="16" spans="2:16" ht="2.25" customHeight="1" x14ac:dyDescent="0.25">
      <c r="B16" s="12"/>
      <c r="C16" s="16"/>
      <c r="D16" s="16"/>
      <c r="E16" s="16"/>
      <c r="F16" s="16"/>
      <c r="G16" s="13"/>
      <c r="I16" s="12"/>
      <c r="J16" s="16"/>
      <c r="K16" s="16"/>
      <c r="L16" s="16"/>
      <c r="M16" s="16"/>
      <c r="N16" s="13"/>
    </row>
    <row r="17" spans="2:18" x14ac:dyDescent="0.25">
      <c r="B17" s="12" t="s">
        <v>62</v>
      </c>
      <c r="C17" s="16"/>
      <c r="D17" s="16"/>
      <c r="E17" s="16"/>
      <c r="F17" s="16"/>
      <c r="G17" s="58">
        <f>+'Wheat Grain'!G47</f>
        <v>64.67</v>
      </c>
      <c r="I17" s="12" t="s">
        <v>62</v>
      </c>
      <c r="J17" s="16"/>
      <c r="K17" s="16"/>
      <c r="L17" s="16"/>
      <c r="M17" s="16"/>
      <c r="N17" s="58">
        <f>+G17</f>
        <v>64.67</v>
      </c>
    </row>
    <row r="18" spans="2:18" ht="2.25" customHeight="1" x14ac:dyDescent="0.25">
      <c r="B18" s="12"/>
      <c r="C18" s="16"/>
      <c r="D18" s="16"/>
      <c r="E18" s="16"/>
      <c r="F18" s="16"/>
      <c r="G18" s="54"/>
      <c r="I18" s="12"/>
      <c r="J18" s="16"/>
      <c r="K18" s="16"/>
      <c r="L18" s="16"/>
      <c r="M18" s="16"/>
      <c r="N18" s="54"/>
    </row>
    <row r="19" spans="2:18" ht="15.75" thickBot="1" x14ac:dyDescent="0.3">
      <c r="B19" s="44" t="s">
        <v>73</v>
      </c>
      <c r="C19" s="56"/>
      <c r="D19" s="56"/>
      <c r="E19" s="56"/>
      <c r="F19" s="56"/>
      <c r="G19" s="98">
        <f>+G15-G17</f>
        <v>69.632125000000016</v>
      </c>
      <c r="I19" s="44" t="s">
        <v>73</v>
      </c>
      <c r="J19" s="56"/>
      <c r="K19" s="56"/>
      <c r="L19" s="56"/>
      <c r="M19" s="56"/>
      <c r="N19" s="98">
        <f>+N15-N17</f>
        <v>20.915761363636378</v>
      </c>
    </row>
    <row r="20" spans="2:18" ht="10.9" customHeight="1" thickBot="1" x14ac:dyDescent="0.3"/>
    <row r="21" spans="2:18" x14ac:dyDescent="0.25">
      <c r="B21" s="11" t="s">
        <v>67</v>
      </c>
      <c r="C21" s="15"/>
      <c r="D21" s="15"/>
      <c r="E21" s="15"/>
      <c r="F21" s="15"/>
      <c r="G21" s="102">
        <f>+G13/G3</f>
        <v>6.1424468749999992</v>
      </c>
      <c r="I21" s="11" t="s">
        <v>67</v>
      </c>
      <c r="J21" s="15"/>
      <c r="K21" s="15"/>
      <c r="L21" s="15"/>
      <c r="M21" s="15"/>
      <c r="N21" s="247">
        <f>+N13/N3</f>
        <v>138.70862390350877</v>
      </c>
    </row>
    <row r="22" spans="2:18" ht="15.75" thickBot="1" x14ac:dyDescent="0.3">
      <c r="B22" s="14" t="s">
        <v>66</v>
      </c>
      <c r="C22" s="17"/>
      <c r="D22" s="17"/>
      <c r="E22" s="17"/>
      <c r="F22" s="17"/>
      <c r="G22" s="103">
        <f>+(G13+G17)/G3</f>
        <v>7.7591968749999989</v>
      </c>
      <c r="I22" s="14" t="s">
        <v>66</v>
      </c>
      <c r="J22" s="17"/>
      <c r="K22" s="17"/>
      <c r="L22" s="17"/>
      <c r="M22" s="17"/>
      <c r="N22" s="248">
        <f>+(N13+N17)/N3</f>
        <v>169.9090625</v>
      </c>
    </row>
    <row r="23" spans="2:18" ht="7.9" customHeight="1" thickBot="1" x14ac:dyDescent="0.3"/>
    <row r="24" spans="2:18" ht="16.5" thickTop="1" thickBot="1" x14ac:dyDescent="0.3">
      <c r="B24" s="352" t="s">
        <v>117</v>
      </c>
      <c r="C24" s="353"/>
      <c r="D24" s="353"/>
      <c r="E24" s="353"/>
      <c r="F24" s="353"/>
      <c r="G24" s="354"/>
      <c r="I24" s="358" t="s">
        <v>117</v>
      </c>
      <c r="J24" s="359"/>
      <c r="K24" s="359"/>
      <c r="L24" s="359"/>
      <c r="M24" s="359"/>
      <c r="N24" s="360"/>
    </row>
    <row r="25" spans="2:18" ht="15.75" thickTop="1" x14ac:dyDescent="0.25">
      <c r="B25" s="60" t="s">
        <v>58</v>
      </c>
      <c r="C25" s="361" t="s">
        <v>114</v>
      </c>
      <c r="D25" s="362"/>
      <c r="E25" s="362" t="s">
        <v>60</v>
      </c>
      <c r="F25" s="362"/>
      <c r="G25" s="363"/>
      <c r="I25" s="255" t="s">
        <v>58</v>
      </c>
      <c r="J25" s="364" t="s">
        <v>114</v>
      </c>
      <c r="K25" s="365"/>
      <c r="L25" s="365" t="s">
        <v>60</v>
      </c>
      <c r="M25" s="365"/>
      <c r="N25" s="366"/>
    </row>
    <row r="26" spans="2:18" ht="15.75" thickBot="1" x14ac:dyDescent="0.3">
      <c r="B26" s="61"/>
      <c r="C26" s="74">
        <f>+E26*0.9</f>
        <v>8.5500000000000007</v>
      </c>
      <c r="D26" s="75">
        <f>+E26*0.95</f>
        <v>9.0250000000000004</v>
      </c>
      <c r="E26" s="80">
        <f>+G5</f>
        <v>9.5</v>
      </c>
      <c r="F26" s="75">
        <f>+E26*1.05</f>
        <v>9.9749999999999996</v>
      </c>
      <c r="G26" s="76">
        <f>+E26*1.1</f>
        <v>10.450000000000001</v>
      </c>
      <c r="I26" s="256"/>
      <c r="J26" s="259">
        <f>+L26*0.9</f>
        <v>162</v>
      </c>
      <c r="K26" s="260">
        <f>+L26*0.95</f>
        <v>171</v>
      </c>
      <c r="L26" s="261">
        <f>+N5</f>
        <v>180</v>
      </c>
      <c r="M26" s="260">
        <f>+L26*1.05</f>
        <v>189</v>
      </c>
      <c r="N26" s="262">
        <f>+L26*1.1</f>
        <v>198.00000000000003</v>
      </c>
    </row>
    <row r="27" spans="2:18" ht="15.75" thickTop="1" x14ac:dyDescent="0.25">
      <c r="B27" s="288">
        <v>20</v>
      </c>
      <c r="C27" s="63">
        <f>+(C$26*$B27-$G$13-$G$17)</f>
        <v>-139.36787499999997</v>
      </c>
      <c r="D27" s="64">
        <f>+(D$26*$B27-$G$13-$G$17)</f>
        <v>-129.86787499999997</v>
      </c>
      <c r="E27" s="64">
        <f t="shared" ref="E27:G27" si="0">+(E$26*$B27-$G$13-$G$17)</f>
        <v>-120.36787499999998</v>
      </c>
      <c r="F27" s="64">
        <f t="shared" si="0"/>
        <v>-110.86787499999998</v>
      </c>
      <c r="G27" s="65">
        <f t="shared" si="0"/>
        <v>-101.36787499999996</v>
      </c>
      <c r="I27" s="257">
        <f>+B27*60/0.4/2200*Assumptions!$F$40</f>
        <v>1.0363636363636364</v>
      </c>
      <c r="J27" s="63">
        <f>+(J$26*$I27-$N$11-$N$17-$I27*Assumptions!$F$38)</f>
        <v>-138.58060227272725</v>
      </c>
      <c r="K27" s="64">
        <f>+(K$26*$I27-$N$11-$N$17-$I27*Assumptions!$F$38)</f>
        <v>-129.25332954545453</v>
      </c>
      <c r="L27" s="64">
        <f>+(L$26*$I27-$N$11-$N$17-$I27*Assumptions!$F$38)</f>
        <v>-119.92605681818179</v>
      </c>
      <c r="M27" s="64">
        <f>+(M$26*$I27-$N$11-$N$17-$I27*Assumptions!$F$38)</f>
        <v>-110.59878409090908</v>
      </c>
      <c r="N27" s="65">
        <f>+(N$26*$I27-$N$11-$N$17-$I27*Assumptions!$F$38)</f>
        <v>-101.27151136363631</v>
      </c>
    </row>
    <row r="28" spans="2:18" ht="15.75" thickBot="1" x14ac:dyDescent="0.3">
      <c r="B28" s="289">
        <v>25</v>
      </c>
      <c r="C28" s="67">
        <f t="shared" ref="C28:G31" si="1">+(C$26*$B28-$G$13-$G$17)</f>
        <v>-96.617874999999955</v>
      </c>
      <c r="D28" s="68">
        <f t="shared" si="1"/>
        <v>-84.742874999999984</v>
      </c>
      <c r="E28" s="135">
        <f t="shared" si="1"/>
        <v>-72.867874999999984</v>
      </c>
      <c r="F28" s="68">
        <f t="shared" si="1"/>
        <v>-60.992874999999984</v>
      </c>
      <c r="G28" s="69">
        <f t="shared" si="1"/>
        <v>-49.117874999999984</v>
      </c>
      <c r="I28" s="257">
        <f>+B28*60/0.4/2200*Assumptions!$F$40</f>
        <v>1.2954545454545454</v>
      </c>
      <c r="J28" s="67">
        <f>+(J$26*$I28-$N$11-$N$17-$I28*Assumptions!$F$38)</f>
        <v>-108.03378409090911</v>
      </c>
      <c r="K28" s="68">
        <f>+(K$26*$I28-$N$11-$N$17-$I28*Assumptions!$F$38)</f>
        <v>-96.374693181818202</v>
      </c>
      <c r="L28" s="135">
        <f>+(L$26*$I28-$N$11-$N$17-$I28*Assumptions!$F$38)</f>
        <v>-84.715602272727267</v>
      </c>
      <c r="M28" s="68">
        <f>+(M$26*$I28-$N$11-$N$17-$I28*Assumptions!$F$38)</f>
        <v>-73.056511363636361</v>
      </c>
      <c r="N28" s="69">
        <f>+(N$26*$I28-$N$11-$N$17-$I28*Assumptions!$F$38)</f>
        <v>-61.39742045454539</v>
      </c>
    </row>
    <row r="29" spans="2:18" ht="15.75" thickBot="1" x14ac:dyDescent="0.3">
      <c r="B29" s="81">
        <f>+G3</f>
        <v>40</v>
      </c>
      <c r="C29" s="67">
        <f t="shared" si="1"/>
        <v>31.632125000000016</v>
      </c>
      <c r="D29" s="133">
        <f>+(D$26*$B29-$G$13-$G$17)</f>
        <v>50.632125000000016</v>
      </c>
      <c r="E29" s="137">
        <f>+(E$26*$B29-$G$13-$G$17)</f>
        <v>69.632125000000016</v>
      </c>
      <c r="F29" s="134">
        <f t="shared" si="1"/>
        <v>88.632125000000016</v>
      </c>
      <c r="G29" s="69">
        <f t="shared" si="1"/>
        <v>107.63212500000007</v>
      </c>
      <c r="I29" s="257">
        <f>+B29*60/0.4/2200*Assumptions!$F$40</f>
        <v>2.0727272727272728</v>
      </c>
      <c r="J29" s="67">
        <f>+(J$26*$I29-$N$11-$N$17-$I29*Assumptions!$F$38)</f>
        <v>-16.393329545454506</v>
      </c>
      <c r="K29" s="133">
        <f>+(K$26*$I29-$N$11-$N$17-$I29*Assumptions!$F$38)</f>
        <v>2.2612159090909216</v>
      </c>
      <c r="L29" s="137">
        <f>+(L$26*$I29-$N$11-$N$17-$I29*Assumptions!$F$38)</f>
        <v>20.915761363636406</v>
      </c>
      <c r="M29" s="134">
        <f>+(M$26*$I29-$N$11-$N$17-$I29*Assumptions!$F$38)</f>
        <v>39.57030681818182</v>
      </c>
      <c r="N29" s="69">
        <f>+(N$26*$I29-$N$11-$N$17-$I29*Assumptions!$F$38)</f>
        <v>58.224852272727361</v>
      </c>
      <c r="R29" s="232"/>
    </row>
    <row r="30" spans="2:18" x14ac:dyDescent="0.25">
      <c r="B30" s="289">
        <v>35</v>
      </c>
      <c r="C30" s="67">
        <f t="shared" si="1"/>
        <v>-11.117874999999984</v>
      </c>
      <c r="D30" s="68">
        <f t="shared" si="1"/>
        <v>5.5071250000000163</v>
      </c>
      <c r="E30" s="136">
        <f t="shared" si="1"/>
        <v>22.132125000000016</v>
      </c>
      <c r="F30" s="68">
        <f t="shared" si="1"/>
        <v>38.757125000000016</v>
      </c>
      <c r="G30" s="69">
        <f t="shared" si="1"/>
        <v>55.382125000000073</v>
      </c>
      <c r="I30" s="257">
        <f>+B30*60/0.4/2200*Assumptions!$F$40</f>
        <v>1.8136363636363635</v>
      </c>
      <c r="J30" s="67">
        <f>+(J$26*$I30-$N$11-$N$17-$I30*Assumptions!$F$38)</f>
        <v>-46.940147727272716</v>
      </c>
      <c r="K30" s="68">
        <f>+(K$26*$I30-$N$11-$N$17-$I30*Assumptions!$F$38)</f>
        <v>-30.617420454545453</v>
      </c>
      <c r="L30" s="136">
        <f>+(L$26*$I30-$N$11-$N$17-$I30*Assumptions!$F$38)</f>
        <v>-14.294693181818189</v>
      </c>
      <c r="M30" s="68">
        <f>+(M$26*$I30-$N$11-$N$17-$I30*Assumptions!$F$38)</f>
        <v>2.0280340909090739</v>
      </c>
      <c r="N30" s="69">
        <f>+(N$26*$I30-$N$11-$N$17-$I30*Assumptions!$F$38)</f>
        <v>18.350761363636394</v>
      </c>
    </row>
    <row r="31" spans="2:18" ht="15.75" thickBot="1" x14ac:dyDescent="0.3">
      <c r="B31" s="290">
        <v>40</v>
      </c>
      <c r="C31" s="71">
        <f t="shared" si="1"/>
        <v>31.632125000000016</v>
      </c>
      <c r="D31" s="72">
        <f t="shared" si="1"/>
        <v>50.632125000000016</v>
      </c>
      <c r="E31" s="72">
        <f t="shared" si="1"/>
        <v>69.632125000000016</v>
      </c>
      <c r="F31" s="72">
        <f t="shared" si="1"/>
        <v>88.632125000000016</v>
      </c>
      <c r="G31" s="73">
        <f t="shared" si="1"/>
        <v>107.63212500000007</v>
      </c>
      <c r="I31" s="258">
        <f>+B31*60/0.4/2200*Assumptions!$F$40</f>
        <v>2.0727272727272728</v>
      </c>
      <c r="J31" s="71">
        <f>+(J$26*$I31-$N$11-$N$17-$I31*Assumptions!$F$38)</f>
        <v>-16.393329545454506</v>
      </c>
      <c r="K31" s="72">
        <f>+(K$26*$I31-$N$11-$N$17-$I31*Assumptions!$F$38)</f>
        <v>2.2612159090909216</v>
      </c>
      <c r="L31" s="72">
        <f>+(L$26*$I31-$N$11-$N$17-$I31*Assumptions!$F$38)</f>
        <v>20.915761363636406</v>
      </c>
      <c r="M31" s="72">
        <f>+(M$26*$I31-$N$11-$N$17-$I31*Assumptions!$F$38)</f>
        <v>39.57030681818182</v>
      </c>
      <c r="N31" s="73">
        <f>+(N$26*$I31-$N$11-$N$17-$I31*Assumptions!$F$38)</f>
        <v>58.224852272727361</v>
      </c>
    </row>
    <row r="32" spans="2:18" ht="15.75" thickTop="1" x14ac:dyDescent="0.25"/>
    <row r="35" spans="1:14" x14ac:dyDescent="0.25">
      <c r="C35" s="1">
        <v>6.5</v>
      </c>
      <c r="D35" s="1">
        <v>7</v>
      </c>
      <c r="E35" s="1">
        <v>7.5</v>
      </c>
      <c r="F35" s="1">
        <v>8</v>
      </c>
      <c r="G35" s="1">
        <v>8.5</v>
      </c>
      <c r="H35" s="1">
        <v>9</v>
      </c>
      <c r="I35" s="1">
        <v>9.5</v>
      </c>
      <c r="J35" s="1">
        <v>10</v>
      </c>
      <c r="K35" s="1">
        <v>10.5</v>
      </c>
      <c r="L35" s="1">
        <v>11</v>
      </c>
      <c r="M35" s="1">
        <v>11.5</v>
      </c>
      <c r="N35" s="1">
        <v>12</v>
      </c>
    </row>
    <row r="36" spans="1:14" x14ac:dyDescent="0.25">
      <c r="B36" s="4">
        <f>+B27</f>
        <v>20</v>
      </c>
      <c r="C36" s="253">
        <f t="shared" ref="C36:E38" si="2">+(C$35*$B36-$G$13-$G$17)</f>
        <v>-180.36787499999997</v>
      </c>
      <c r="D36" s="253">
        <f t="shared" si="2"/>
        <v>-170.36787499999997</v>
      </c>
      <c r="E36" s="253">
        <f t="shared" si="2"/>
        <v>-160.36787499999997</v>
      </c>
      <c r="F36" s="253">
        <f t="shared" ref="F36:N38" si="3">+(F$35*$B36-$G$13-$G$17)</f>
        <v>-150.36787499999997</v>
      </c>
      <c r="G36" s="253">
        <f t="shared" si="3"/>
        <v>-140.36787499999997</v>
      </c>
      <c r="H36" s="253">
        <f t="shared" si="3"/>
        <v>-130.36787499999997</v>
      </c>
      <c r="I36" s="253">
        <f t="shared" si="3"/>
        <v>-120.36787499999998</v>
      </c>
      <c r="J36" s="253">
        <f t="shared" si="3"/>
        <v>-110.36787499999998</v>
      </c>
      <c r="K36" s="253">
        <f t="shared" si="3"/>
        <v>-100.36787499999998</v>
      </c>
      <c r="L36" s="253">
        <f t="shared" si="3"/>
        <v>-90.367874999999984</v>
      </c>
      <c r="M36" s="253">
        <f t="shared" si="3"/>
        <v>-80.367874999999984</v>
      </c>
      <c r="N36" s="253">
        <f t="shared" si="3"/>
        <v>-70.367874999999984</v>
      </c>
    </row>
    <row r="37" spans="1:14" x14ac:dyDescent="0.25">
      <c r="B37" s="4">
        <f>+B29</f>
        <v>40</v>
      </c>
      <c r="C37" s="253">
        <f t="shared" si="2"/>
        <v>-50.367874999999984</v>
      </c>
      <c r="D37" s="253">
        <f t="shared" si="2"/>
        <v>-30.367874999999984</v>
      </c>
      <c r="E37" s="253">
        <f t="shared" si="2"/>
        <v>-10.367874999999984</v>
      </c>
      <c r="F37" s="253">
        <f t="shared" si="3"/>
        <v>9.6321250000000163</v>
      </c>
      <c r="G37" s="253">
        <f t="shared" si="3"/>
        <v>29.632125000000016</v>
      </c>
      <c r="H37" s="253">
        <f t="shared" si="3"/>
        <v>49.632125000000016</v>
      </c>
      <c r="I37" s="253">
        <f t="shared" si="3"/>
        <v>69.632125000000016</v>
      </c>
      <c r="J37" s="253">
        <f t="shared" si="3"/>
        <v>89.632125000000016</v>
      </c>
      <c r="K37" s="253">
        <f t="shared" si="3"/>
        <v>109.63212500000002</v>
      </c>
      <c r="L37" s="253">
        <f t="shared" si="3"/>
        <v>129.63212500000003</v>
      </c>
      <c r="M37" s="253">
        <f t="shared" si="3"/>
        <v>149.63212500000003</v>
      </c>
      <c r="N37" s="253">
        <f t="shared" si="3"/>
        <v>169.63212500000003</v>
      </c>
    </row>
    <row r="38" spans="1:14" x14ac:dyDescent="0.25">
      <c r="B38" s="4">
        <f>+B31</f>
        <v>40</v>
      </c>
      <c r="C38" s="253">
        <f t="shared" si="2"/>
        <v>-50.367874999999984</v>
      </c>
      <c r="D38" s="253">
        <f t="shared" si="2"/>
        <v>-30.367874999999984</v>
      </c>
      <c r="E38" s="253">
        <f t="shared" si="2"/>
        <v>-10.367874999999984</v>
      </c>
      <c r="F38" s="253">
        <f t="shared" si="3"/>
        <v>9.6321250000000163</v>
      </c>
      <c r="G38" s="253">
        <f t="shared" si="3"/>
        <v>29.632125000000016</v>
      </c>
      <c r="H38" s="253">
        <f t="shared" si="3"/>
        <v>49.632125000000016</v>
      </c>
      <c r="I38" s="253">
        <f t="shared" si="3"/>
        <v>69.632125000000016</v>
      </c>
      <c r="J38" s="253">
        <f t="shared" si="3"/>
        <v>89.632125000000016</v>
      </c>
      <c r="K38" s="253">
        <f t="shared" si="3"/>
        <v>109.63212500000002</v>
      </c>
      <c r="L38" s="253">
        <f t="shared" si="3"/>
        <v>129.63212500000003</v>
      </c>
      <c r="M38" s="253">
        <f t="shared" si="3"/>
        <v>149.63212500000003</v>
      </c>
      <c r="N38" s="253">
        <f t="shared" si="3"/>
        <v>169.63212500000003</v>
      </c>
    </row>
    <row r="41" spans="1:14" x14ac:dyDescent="0.25">
      <c r="B41" s="1" t="s">
        <v>178</v>
      </c>
      <c r="C41" s="1">
        <f>+C35</f>
        <v>6.5</v>
      </c>
      <c r="D41" s="1">
        <f t="shared" ref="D41:N41" si="4">+D35</f>
        <v>7</v>
      </c>
      <c r="E41" s="1">
        <f t="shared" si="4"/>
        <v>7.5</v>
      </c>
      <c r="F41" s="1">
        <f t="shared" si="4"/>
        <v>8</v>
      </c>
      <c r="G41" s="1">
        <f t="shared" si="4"/>
        <v>8.5</v>
      </c>
      <c r="H41" s="1">
        <f t="shared" si="4"/>
        <v>9</v>
      </c>
      <c r="I41" s="1">
        <f t="shared" si="4"/>
        <v>9.5</v>
      </c>
      <c r="J41" s="1">
        <f t="shared" si="4"/>
        <v>10</v>
      </c>
      <c r="K41" s="1">
        <f t="shared" si="4"/>
        <v>10.5</v>
      </c>
      <c r="L41" s="1">
        <f t="shared" si="4"/>
        <v>11</v>
      </c>
      <c r="M41" s="1">
        <f t="shared" si="4"/>
        <v>11.5</v>
      </c>
      <c r="N41" s="1">
        <f t="shared" si="4"/>
        <v>12</v>
      </c>
    </row>
    <row r="42" spans="1:14" x14ac:dyDescent="0.25">
      <c r="A42" s="4">
        <f>+B36</f>
        <v>20</v>
      </c>
      <c r="B42" s="1" t="s">
        <v>175</v>
      </c>
      <c r="C42" s="254">
        <f>+((C36+$N$11+$N$17)+$I$27*$P$12)/$I$27</f>
        <v>121.67894736842106</v>
      </c>
      <c r="D42" s="254">
        <f t="shared" ref="D42:N42" si="5">+((D36+$N$11+$N$17)+$I$27*$P$12)/$I$27</f>
        <v>131.32807017543863</v>
      </c>
      <c r="E42" s="254">
        <f t="shared" si="5"/>
        <v>140.97719298245616</v>
      </c>
      <c r="F42" s="254">
        <f t="shared" si="5"/>
        <v>150.62631578947369</v>
      </c>
      <c r="G42" s="254">
        <f t="shared" si="5"/>
        <v>160.27543859649126</v>
      </c>
      <c r="H42" s="254">
        <f t="shared" si="5"/>
        <v>169.92456140350879</v>
      </c>
      <c r="I42" s="254">
        <f t="shared" si="5"/>
        <v>179.57368421052632</v>
      </c>
      <c r="J42" s="254">
        <f t="shared" si="5"/>
        <v>189.22280701754389</v>
      </c>
      <c r="K42" s="254">
        <f t="shared" si="5"/>
        <v>198.87192982456142</v>
      </c>
      <c r="L42" s="254">
        <f t="shared" si="5"/>
        <v>208.52105263157895</v>
      </c>
      <c r="M42" s="254">
        <f t="shared" si="5"/>
        <v>218.17017543859652</v>
      </c>
      <c r="N42" s="254">
        <f t="shared" si="5"/>
        <v>227.81929824561405</v>
      </c>
    </row>
    <row r="43" spans="1:14" x14ac:dyDescent="0.25">
      <c r="A43" s="4">
        <f>+B37</f>
        <v>40</v>
      </c>
      <c r="B43" s="1" t="s">
        <v>176</v>
      </c>
      <c r="C43" s="254">
        <f>+((C37+$N$11+$N$17)+$I$29*$P$12)/$I$29</f>
        <v>145.6087719298246</v>
      </c>
      <c r="D43" s="254">
        <f t="shared" ref="D43:N43" si="6">+((D37+$N$11+$N$17)+$I$29*$P$12)/$I$29</f>
        <v>155.25789473684213</v>
      </c>
      <c r="E43" s="254">
        <f t="shared" si="6"/>
        <v>164.90701754385967</v>
      </c>
      <c r="F43" s="254">
        <f t="shared" si="6"/>
        <v>174.55614035087723</v>
      </c>
      <c r="G43" s="254">
        <f t="shared" si="6"/>
        <v>184.20526315789476</v>
      </c>
      <c r="H43" s="254">
        <f t="shared" si="6"/>
        <v>193.8543859649123</v>
      </c>
      <c r="I43" s="254">
        <f t="shared" si="6"/>
        <v>203.50350877192986</v>
      </c>
      <c r="J43" s="254">
        <f t="shared" si="6"/>
        <v>213.15263157894739</v>
      </c>
      <c r="K43" s="254">
        <f t="shared" si="6"/>
        <v>222.80175438596493</v>
      </c>
      <c r="L43" s="254">
        <f t="shared" si="6"/>
        <v>232.45087719298249</v>
      </c>
      <c r="M43" s="254">
        <f t="shared" si="6"/>
        <v>242.10000000000002</v>
      </c>
      <c r="N43" s="254">
        <f t="shared" si="6"/>
        <v>251.74912280701756</v>
      </c>
    </row>
    <row r="44" spans="1:14" x14ac:dyDescent="0.25">
      <c r="A44" s="4">
        <f>+B38</f>
        <v>40</v>
      </c>
      <c r="B44" s="1" t="s">
        <v>177</v>
      </c>
      <c r="C44" s="254">
        <f>+((C38+$N$11+$N$17)+$I$31*$P$12)/$I$31</f>
        <v>145.6087719298246</v>
      </c>
      <c r="D44" s="254">
        <f t="shared" ref="D44:N44" si="7">+((D38+$N$11+$N$17)+$I$31*$P$12)/$I$31</f>
        <v>155.25789473684213</v>
      </c>
      <c r="E44" s="254">
        <f t="shared" si="7"/>
        <v>164.90701754385967</v>
      </c>
      <c r="F44" s="254">
        <f t="shared" si="7"/>
        <v>174.55614035087723</v>
      </c>
      <c r="G44" s="254">
        <f t="shared" si="7"/>
        <v>184.20526315789476</v>
      </c>
      <c r="H44" s="254">
        <f t="shared" si="7"/>
        <v>193.8543859649123</v>
      </c>
      <c r="I44" s="254">
        <f t="shared" si="7"/>
        <v>203.50350877192986</v>
      </c>
      <c r="J44" s="254">
        <f t="shared" si="7"/>
        <v>213.15263157894739</v>
      </c>
      <c r="K44" s="254">
        <f t="shared" si="7"/>
        <v>222.80175438596493</v>
      </c>
      <c r="L44" s="254">
        <f t="shared" si="7"/>
        <v>232.45087719298249</v>
      </c>
      <c r="M44" s="254">
        <f t="shared" si="7"/>
        <v>242.10000000000002</v>
      </c>
      <c r="N44" s="254">
        <f t="shared" si="7"/>
        <v>251.74912280701756</v>
      </c>
    </row>
    <row r="46" spans="1:14" x14ac:dyDescent="0.25">
      <c r="C46" s="254"/>
    </row>
  </sheetData>
  <sheetProtection sheet="1" objects="1" scenarios="1"/>
  <mergeCells count="6">
    <mergeCell ref="J25:N25"/>
    <mergeCell ref="I2:N2"/>
    <mergeCell ref="C25:G25"/>
    <mergeCell ref="B24:G24"/>
    <mergeCell ref="I24:N24"/>
    <mergeCell ref="B2:G2"/>
  </mergeCells>
  <conditionalFormatting sqref="C27:G31">
    <cfRule type="colorScale" priority="81">
      <colorScale>
        <cfvo type="min"/>
        <cfvo type="max"/>
        <color theme="0" tint="-4.9989318521683403E-2"/>
        <color theme="0" tint="-0.34998626667073579"/>
      </colorScale>
    </cfRule>
    <cfRule type="colorScale" priority="82">
      <colorScale>
        <cfvo type="min"/>
        <cfvo type="max"/>
        <color rgb="FFFCFCFF"/>
        <color rgb="FF63BE7B"/>
      </colorScale>
    </cfRule>
  </conditionalFormatting>
  <conditionalFormatting sqref="C27:G31">
    <cfRule type="colorScale" priority="5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7:N31">
    <cfRule type="colorScale" priority="1">
      <colorScale>
        <cfvo type="min"/>
        <cfvo type="max"/>
        <color theme="0" tint="-4.9989318521683403E-2"/>
        <color theme="0" tint="-0.34998626667073579"/>
      </colorScale>
    </cfRule>
    <cfRule type="colorScale" priority="2">
      <colorScale>
        <cfvo type="min"/>
        <cfvo type="max"/>
        <color rgb="FFFCFCFF"/>
        <color rgb="FF63BE7B"/>
      </colorScale>
    </cfRule>
  </conditionalFormatting>
  <conditionalFormatting sqref="J27:N3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51221-9006-4A0C-B479-4EAD0ED81188}">
  <dimension ref="B1:AC50"/>
  <sheetViews>
    <sheetView workbookViewId="0">
      <selection activeCell="N4" sqref="N4"/>
    </sheetView>
  </sheetViews>
  <sheetFormatPr defaultColWidth="8.85546875" defaultRowHeight="15" x14ac:dyDescent="0.25"/>
  <cols>
    <col min="1" max="6" width="6.28515625" style="1" customWidth="1"/>
    <col min="7" max="7" width="7" style="1" customWidth="1"/>
    <col min="8" max="8" width="2.5703125" style="1" customWidth="1"/>
    <col min="9" max="9" width="6.28515625" style="1" customWidth="1"/>
    <col min="10" max="13" width="6.42578125" style="1" customWidth="1"/>
    <col min="14" max="14" width="7.7109375" style="1" customWidth="1"/>
    <col min="15" max="15" width="2.5703125" style="1" customWidth="1"/>
    <col min="16" max="16" width="6.42578125" style="1" customWidth="1"/>
    <col min="17" max="21" width="6.5703125" style="1" customWidth="1"/>
    <col min="22" max="22" width="2.85546875" style="1" customWidth="1"/>
    <col min="23" max="23" width="7.5703125" style="1" customWidth="1"/>
    <col min="24" max="27" width="5.85546875" style="1" customWidth="1"/>
    <col min="28" max="28" width="7.42578125" style="1" customWidth="1"/>
    <col min="29" max="29" width="6.28515625" style="1" customWidth="1"/>
    <col min="30" max="16384" width="8.85546875" style="1"/>
  </cols>
  <sheetData>
    <row r="1" spans="2:29" ht="15.75" thickBot="1" x14ac:dyDescent="0.3"/>
    <row r="2" spans="2:29" x14ac:dyDescent="0.25">
      <c r="B2" s="358" t="s">
        <v>57</v>
      </c>
      <c r="C2" s="359"/>
      <c r="D2" s="359"/>
      <c r="E2" s="359"/>
      <c r="F2" s="359"/>
      <c r="G2" s="360"/>
      <c r="H2" s="3"/>
      <c r="I2" s="358" t="s">
        <v>90</v>
      </c>
      <c r="J2" s="359"/>
      <c r="K2" s="359"/>
      <c r="L2" s="359"/>
      <c r="M2" s="359"/>
      <c r="N2" s="360"/>
      <c r="O2" s="10"/>
      <c r="P2" s="358" t="s">
        <v>91</v>
      </c>
      <c r="Q2" s="359"/>
      <c r="R2" s="359"/>
      <c r="S2" s="359"/>
      <c r="T2" s="359"/>
      <c r="U2" s="360"/>
      <c r="W2" s="358" t="s">
        <v>92</v>
      </c>
      <c r="X2" s="359"/>
      <c r="Y2" s="359"/>
      <c r="Z2" s="359"/>
      <c r="AA2" s="359"/>
      <c r="AB2" s="360"/>
    </row>
    <row r="3" spans="2:29" x14ac:dyDescent="0.25">
      <c r="B3" s="12" t="s">
        <v>84</v>
      </c>
      <c r="C3" s="16"/>
      <c r="D3" s="16"/>
      <c r="E3" s="16"/>
      <c r="F3" s="16"/>
      <c r="G3" s="45">
        <f>+'Wheat Grain'!D3</f>
        <v>40</v>
      </c>
      <c r="I3" s="12" t="s">
        <v>84</v>
      </c>
      <c r="J3" s="16"/>
      <c r="K3" s="16"/>
      <c r="L3" s="16"/>
      <c r="M3" s="16"/>
      <c r="N3" s="45">
        <f>+'Wheat Dual  ~700Lb'!D3</f>
        <v>35</v>
      </c>
      <c r="O3" s="2"/>
      <c r="P3" s="12" t="s">
        <v>84</v>
      </c>
      <c r="Q3" s="16"/>
      <c r="R3" s="16"/>
      <c r="S3" s="16"/>
      <c r="T3" s="16"/>
      <c r="U3" s="45">
        <f>+'Wheat Dual ~800Lb'!D3</f>
        <v>35</v>
      </c>
      <c r="W3" s="83" t="s">
        <v>84</v>
      </c>
      <c r="X3" s="84"/>
      <c r="Y3" s="84"/>
      <c r="Z3" s="84"/>
      <c r="AA3" s="84"/>
      <c r="AB3" s="45">
        <f>+Assumptions!F11</f>
        <v>0</v>
      </c>
    </row>
    <row r="4" spans="2:29" x14ac:dyDescent="0.25">
      <c r="B4" s="12" t="s">
        <v>85</v>
      </c>
      <c r="C4" s="16"/>
      <c r="D4" s="16"/>
      <c r="E4" s="16"/>
      <c r="F4" s="16"/>
      <c r="G4" s="45">
        <v>0</v>
      </c>
      <c r="I4" s="12" t="s">
        <v>85</v>
      </c>
      <c r="J4" s="16"/>
      <c r="K4" s="16"/>
      <c r="L4" s="16"/>
      <c r="M4" s="16"/>
      <c r="N4" s="45">
        <f>+'Wheat Dual  ~700Lb'!M4</f>
        <v>82.5</v>
      </c>
      <c r="O4" s="2"/>
      <c r="P4" s="12" t="s">
        <v>85</v>
      </c>
      <c r="Q4" s="16"/>
      <c r="R4" s="16"/>
      <c r="S4" s="16"/>
      <c r="T4" s="16"/>
      <c r="U4" s="45">
        <f>+'Wheat Dual ~800Lb'!D4+'Wheat Dual ~800Lb'!D5</f>
        <v>137.72500000000002</v>
      </c>
      <c r="W4" s="83" t="s">
        <v>85</v>
      </c>
      <c r="X4" s="84"/>
      <c r="Y4" s="84"/>
      <c r="Z4" s="84"/>
      <c r="AA4" s="84"/>
      <c r="AB4" s="45">
        <f>+'Wheat Graze Out'!M4+'Wheat Graze Out'!M5</f>
        <v>229.76666666666668</v>
      </c>
    </row>
    <row r="5" spans="2:29" x14ac:dyDescent="0.25">
      <c r="B5" s="12" t="s">
        <v>60</v>
      </c>
      <c r="C5" s="16"/>
      <c r="D5" s="16"/>
      <c r="E5" s="16"/>
      <c r="F5" s="16"/>
      <c r="G5" s="49">
        <f>+Assumptions!F14</f>
        <v>9.5</v>
      </c>
      <c r="I5" s="12" t="s">
        <v>60</v>
      </c>
      <c r="J5" s="16"/>
      <c r="K5" s="16"/>
      <c r="L5" s="16"/>
      <c r="M5" s="16"/>
      <c r="N5" s="49">
        <f>+G5</f>
        <v>9.5</v>
      </c>
      <c r="P5" s="12" t="s">
        <v>60</v>
      </c>
      <c r="Q5" s="16"/>
      <c r="R5" s="16"/>
      <c r="S5" s="16"/>
      <c r="T5" s="16"/>
      <c r="U5" s="101">
        <f>+N5</f>
        <v>9.5</v>
      </c>
      <c r="W5" s="83" t="s">
        <v>60</v>
      </c>
      <c r="X5" s="84"/>
      <c r="Y5" s="84"/>
      <c r="Z5" s="84"/>
      <c r="AA5" s="84"/>
      <c r="AB5" s="40"/>
    </row>
    <row r="6" spans="2:29" x14ac:dyDescent="0.25">
      <c r="B6" s="12" t="s">
        <v>63</v>
      </c>
      <c r="C6" s="16"/>
      <c r="D6" s="16"/>
      <c r="E6" s="16"/>
      <c r="F6" s="16"/>
      <c r="G6" s="50">
        <v>1</v>
      </c>
      <c r="I6" s="12" t="s">
        <v>63</v>
      </c>
      <c r="J6" s="16"/>
      <c r="K6" s="16"/>
      <c r="L6" s="16"/>
      <c r="M6" s="16"/>
      <c r="N6" s="50">
        <v>1</v>
      </c>
      <c r="P6" s="12" t="s">
        <v>63</v>
      </c>
      <c r="Q6" s="16"/>
      <c r="R6" s="16"/>
      <c r="S6" s="16"/>
      <c r="T6" s="16"/>
      <c r="U6" s="51">
        <f>+'Wheat Dual ~800Lb'!H3</f>
        <v>0.625</v>
      </c>
      <c r="W6" s="83" t="s">
        <v>63</v>
      </c>
      <c r="X6" s="84"/>
      <c r="Y6" s="84"/>
      <c r="Z6" s="84"/>
      <c r="AA6" s="84"/>
      <c r="AB6" s="85">
        <v>0</v>
      </c>
    </row>
    <row r="7" spans="2:29" x14ac:dyDescent="0.25">
      <c r="B7" s="12" t="s">
        <v>64</v>
      </c>
      <c r="C7" s="16"/>
      <c r="D7" s="16"/>
      <c r="E7" s="16"/>
      <c r="F7" s="16"/>
      <c r="G7" s="54">
        <f>+G5*G3</f>
        <v>380</v>
      </c>
      <c r="I7" s="12" t="s">
        <v>64</v>
      </c>
      <c r="J7" s="16"/>
      <c r="K7" s="16"/>
      <c r="L7" s="16"/>
      <c r="M7" s="16"/>
      <c r="N7" s="54">
        <f>+N5*N3</f>
        <v>332.5</v>
      </c>
      <c r="O7" s="5"/>
      <c r="P7" s="12" t="s">
        <v>64</v>
      </c>
      <c r="Q7" s="16"/>
      <c r="R7" s="16"/>
      <c r="S7" s="16"/>
      <c r="T7" s="16"/>
      <c r="U7" s="54">
        <f>+U5*U3*U6</f>
        <v>207.8125</v>
      </c>
      <c r="W7" s="83" t="s">
        <v>64</v>
      </c>
      <c r="X7" s="84"/>
      <c r="Y7" s="84"/>
      <c r="Z7" s="84"/>
      <c r="AA7" s="84"/>
      <c r="AB7" s="101">
        <v>0</v>
      </c>
    </row>
    <row r="8" spans="2:29" x14ac:dyDescent="0.25">
      <c r="B8" s="12"/>
      <c r="C8" s="16"/>
      <c r="D8" s="16"/>
      <c r="E8" s="16"/>
      <c r="F8" s="16"/>
      <c r="G8" s="39"/>
      <c r="I8" s="12" t="s">
        <v>65</v>
      </c>
      <c r="J8" s="16"/>
      <c r="K8" s="16"/>
      <c r="L8" s="16"/>
      <c r="M8" s="16"/>
      <c r="N8" s="39">
        <f>+'Wheat Dual  ~700Lb'!G4</f>
        <v>53.625</v>
      </c>
      <c r="O8" s="5"/>
      <c r="P8" s="12" t="s">
        <v>65</v>
      </c>
      <c r="Q8" s="16"/>
      <c r="R8" s="16"/>
      <c r="S8" s="16"/>
      <c r="T8" s="16"/>
      <c r="U8" s="54">
        <f>+'Wheat Dual ~800Lb'!G4+'Wheat Dual ~800Lb'!G5</f>
        <v>89.521250000000009</v>
      </c>
      <c r="W8" s="83" t="s">
        <v>65</v>
      </c>
      <c r="X8" s="84"/>
      <c r="Y8" s="84"/>
      <c r="Z8" s="84"/>
      <c r="AA8" s="84"/>
      <c r="AB8" s="58">
        <f>+'Wheat Graze Out'!G4+'Wheat Graze Out'!G5</f>
        <v>149.34833333333336</v>
      </c>
      <c r="AC8" s="19"/>
    </row>
    <row r="9" spans="2:29" x14ac:dyDescent="0.25">
      <c r="B9" s="42" t="s">
        <v>72</v>
      </c>
      <c r="C9" s="55"/>
      <c r="D9" s="55"/>
      <c r="E9" s="55"/>
      <c r="F9" s="55"/>
      <c r="G9" s="57">
        <f>+G7+G8</f>
        <v>380</v>
      </c>
      <c r="I9" s="42" t="s">
        <v>72</v>
      </c>
      <c r="J9" s="55"/>
      <c r="K9" s="55"/>
      <c r="L9" s="55"/>
      <c r="M9" s="55"/>
      <c r="N9" s="57">
        <f>+N7+N8</f>
        <v>386.125</v>
      </c>
      <c r="O9" s="6"/>
      <c r="P9" s="42" t="s">
        <v>72</v>
      </c>
      <c r="Q9" s="55"/>
      <c r="R9" s="55"/>
      <c r="S9" s="55"/>
      <c r="T9" s="55"/>
      <c r="U9" s="57">
        <f>+U7+U8</f>
        <v>297.33375000000001</v>
      </c>
      <c r="W9" s="42" t="s">
        <v>72</v>
      </c>
      <c r="X9" s="55"/>
      <c r="Y9" s="55"/>
      <c r="Z9" s="55"/>
      <c r="AA9" s="55"/>
      <c r="AB9" s="57">
        <f>+AB7+AB8</f>
        <v>149.34833333333336</v>
      </c>
      <c r="AC9" s="19"/>
    </row>
    <row r="10" spans="2:29" x14ac:dyDescent="0.25">
      <c r="B10" s="12"/>
      <c r="C10" s="16"/>
      <c r="D10" s="16"/>
      <c r="E10" s="16"/>
      <c r="F10" s="16"/>
      <c r="G10" s="13"/>
      <c r="I10" s="12"/>
      <c r="J10" s="16"/>
      <c r="K10" s="16"/>
      <c r="L10" s="16"/>
      <c r="M10" s="16"/>
      <c r="N10" s="13"/>
      <c r="P10" s="12"/>
      <c r="Q10" s="16"/>
      <c r="R10" s="16"/>
      <c r="S10" s="16"/>
      <c r="T10" s="16"/>
      <c r="U10" s="13"/>
      <c r="W10" s="83"/>
      <c r="X10" s="84"/>
      <c r="Y10" s="84"/>
      <c r="Z10" s="84"/>
      <c r="AA10" s="84"/>
      <c r="AB10" s="86"/>
    </row>
    <row r="11" spans="2:29" x14ac:dyDescent="0.25">
      <c r="B11" s="12" t="s">
        <v>11</v>
      </c>
      <c r="C11" s="16"/>
      <c r="D11" s="16"/>
      <c r="E11" s="16"/>
      <c r="F11" s="16"/>
      <c r="G11" s="58">
        <f>+'Wheat Grain'!G22</f>
        <v>196.09787499999999</v>
      </c>
      <c r="I11" s="12" t="s">
        <v>11</v>
      </c>
      <c r="J11" s="16"/>
      <c r="K11" s="16"/>
      <c r="L11" s="16"/>
      <c r="M11" s="16"/>
      <c r="N11" s="58">
        <f>+'Wheat Dual  ~700Lb'!G22</f>
        <v>220.943095</v>
      </c>
      <c r="O11" s="5"/>
      <c r="P11" s="12" t="s">
        <v>11</v>
      </c>
      <c r="Q11" s="16"/>
      <c r="R11" s="16"/>
      <c r="S11" s="16"/>
      <c r="T11" s="16"/>
      <c r="U11" s="58">
        <f>+'Wheat Dual ~800Lb'!G22</f>
        <v>220.943095</v>
      </c>
      <c r="W11" s="83" t="s">
        <v>11</v>
      </c>
      <c r="X11" s="84"/>
      <c r="Y11" s="84"/>
      <c r="Z11" s="84"/>
      <c r="AA11" s="84"/>
      <c r="AB11" s="58">
        <f>+'Wheat Graze Out'!G22</f>
        <v>215.07374999999999</v>
      </c>
      <c r="AC11" s="19"/>
    </row>
    <row r="12" spans="2:29" x14ac:dyDescent="0.25">
      <c r="B12" s="12" t="s">
        <v>61</v>
      </c>
      <c r="C12" s="16"/>
      <c r="D12" s="16"/>
      <c r="E12" s="16"/>
      <c r="F12" s="16"/>
      <c r="G12" s="58">
        <f>+'Wheat Grain'!G27</f>
        <v>49.6</v>
      </c>
      <c r="I12" s="12" t="s">
        <v>61</v>
      </c>
      <c r="J12" s="16"/>
      <c r="K12" s="16"/>
      <c r="L12" s="16"/>
      <c r="M12" s="16"/>
      <c r="N12" s="58">
        <f>+'Wheat Dual  ~700Lb'!G24</f>
        <v>49.6</v>
      </c>
      <c r="O12" s="5"/>
      <c r="P12" s="12" t="s">
        <v>61</v>
      </c>
      <c r="Q12" s="16"/>
      <c r="R12" s="16"/>
      <c r="S12" s="16"/>
      <c r="T12" s="16"/>
      <c r="U12" s="58">
        <f>+'Wheat Dual ~800Lb'!G24</f>
        <v>31</v>
      </c>
      <c r="W12" s="83" t="s">
        <v>61</v>
      </c>
      <c r="X12" s="84"/>
      <c r="Y12" s="84"/>
      <c r="Z12" s="84"/>
      <c r="AA12" s="84"/>
      <c r="AB12" s="58">
        <f>+'Wheat Dual ~800Lb'!N19</f>
        <v>0</v>
      </c>
      <c r="AC12" s="19"/>
    </row>
    <row r="13" spans="2:29" x14ac:dyDescent="0.25">
      <c r="B13" s="41" t="s">
        <v>33</v>
      </c>
      <c r="C13" s="47"/>
      <c r="D13" s="47"/>
      <c r="E13" s="47"/>
      <c r="F13" s="47"/>
      <c r="G13" s="59">
        <f>+G11+G12</f>
        <v>245.69787499999998</v>
      </c>
      <c r="I13" s="41" t="s">
        <v>33</v>
      </c>
      <c r="J13" s="47"/>
      <c r="K13" s="47"/>
      <c r="L13" s="47"/>
      <c r="M13" s="47"/>
      <c r="N13" s="59">
        <f>+N11+N12</f>
        <v>270.54309499999999</v>
      </c>
      <c r="O13" s="6"/>
      <c r="P13" s="41" t="s">
        <v>33</v>
      </c>
      <c r="Q13" s="47"/>
      <c r="R13" s="47"/>
      <c r="S13" s="47"/>
      <c r="T13" s="47"/>
      <c r="U13" s="59">
        <f>+U11+U12</f>
        <v>251.943095</v>
      </c>
      <c r="W13" s="87" t="s">
        <v>33</v>
      </c>
      <c r="X13" s="88"/>
      <c r="Y13" s="88"/>
      <c r="Z13" s="88"/>
      <c r="AA13" s="88"/>
      <c r="AB13" s="89">
        <f>+AB11+AB12</f>
        <v>215.07374999999999</v>
      </c>
      <c r="AC13" s="19"/>
    </row>
    <row r="14" spans="2:29" x14ac:dyDescent="0.25">
      <c r="B14" s="12"/>
      <c r="C14" s="16"/>
      <c r="D14" s="16"/>
      <c r="E14" s="16"/>
      <c r="F14" s="16"/>
      <c r="G14" s="13"/>
      <c r="I14" s="12"/>
      <c r="J14" s="16"/>
      <c r="K14" s="16"/>
      <c r="L14" s="16"/>
      <c r="M14" s="16"/>
      <c r="N14" s="13"/>
      <c r="P14" s="12"/>
      <c r="Q14" s="16"/>
      <c r="R14" s="16"/>
      <c r="S14" s="16"/>
      <c r="T14" s="16"/>
      <c r="U14" s="13"/>
      <c r="W14" s="83"/>
      <c r="X14" s="84"/>
      <c r="Y14" s="84"/>
      <c r="Z14" s="84"/>
      <c r="AA14" s="84"/>
      <c r="AB14" s="86"/>
    </row>
    <row r="15" spans="2:29" x14ac:dyDescent="0.25">
      <c r="B15" s="42" t="s">
        <v>74</v>
      </c>
      <c r="C15" s="55"/>
      <c r="D15" s="55"/>
      <c r="E15" s="55"/>
      <c r="F15" s="55"/>
      <c r="G15" s="97">
        <f>+G9-G13</f>
        <v>134.30212500000002</v>
      </c>
      <c r="H15" s="3"/>
      <c r="I15" s="42" t="s">
        <v>74</v>
      </c>
      <c r="J15" s="55"/>
      <c r="K15" s="55"/>
      <c r="L15" s="55"/>
      <c r="M15" s="55"/>
      <c r="N15" s="77">
        <f>+N9-N13</f>
        <v>115.58190500000001</v>
      </c>
      <c r="O15" s="6"/>
      <c r="P15" s="42" t="s">
        <v>74</v>
      </c>
      <c r="Q15" s="55"/>
      <c r="R15" s="55"/>
      <c r="S15" s="55"/>
      <c r="T15" s="55"/>
      <c r="U15" s="97">
        <f>+U9-U13</f>
        <v>45.39065500000001</v>
      </c>
      <c r="W15" s="42" t="s">
        <v>74</v>
      </c>
      <c r="X15" s="55"/>
      <c r="Y15" s="55"/>
      <c r="Z15" s="55"/>
      <c r="AA15" s="55"/>
      <c r="AB15" s="97">
        <f>+AB9-AB13</f>
        <v>-65.725416666666632</v>
      </c>
    </row>
    <row r="16" spans="2:29" ht="6" customHeight="1" x14ac:dyDescent="0.25">
      <c r="B16" s="12"/>
      <c r="C16" s="16"/>
      <c r="D16" s="16"/>
      <c r="E16" s="16"/>
      <c r="F16" s="16"/>
      <c r="G16" s="13"/>
      <c r="I16" s="12"/>
      <c r="J16" s="16"/>
      <c r="K16" s="16"/>
      <c r="L16" s="16"/>
      <c r="M16" s="16"/>
      <c r="N16" s="13"/>
      <c r="P16" s="12"/>
      <c r="Q16" s="16"/>
      <c r="R16" s="16"/>
      <c r="S16" s="16"/>
      <c r="T16" s="16"/>
      <c r="U16" s="78"/>
      <c r="W16" s="83"/>
      <c r="X16" s="84"/>
      <c r="Y16" s="84"/>
      <c r="Z16" s="84"/>
      <c r="AA16" s="84"/>
      <c r="AB16" s="79"/>
    </row>
    <row r="17" spans="2:28" x14ac:dyDescent="0.25">
      <c r="B17" s="12" t="s">
        <v>62</v>
      </c>
      <c r="C17" s="16"/>
      <c r="D17" s="16"/>
      <c r="E17" s="16"/>
      <c r="F17" s="16"/>
      <c r="G17" s="58">
        <f>+'Wheat Grain'!G47</f>
        <v>64.67</v>
      </c>
      <c r="I17" s="12" t="s">
        <v>62</v>
      </c>
      <c r="J17" s="16"/>
      <c r="K17" s="16"/>
      <c r="L17" s="16"/>
      <c r="M17" s="16"/>
      <c r="N17" s="58">
        <f>+'Wheat Dual  ~700Lb'!G47</f>
        <v>64.67</v>
      </c>
      <c r="O17" s="5"/>
      <c r="P17" s="12" t="s">
        <v>62</v>
      </c>
      <c r="Q17" s="16"/>
      <c r="R17" s="16"/>
      <c r="S17" s="16"/>
      <c r="T17" s="16"/>
      <c r="U17" s="99">
        <f>+'Wheat Dual ~800Lb'!G47</f>
        <v>64.67</v>
      </c>
      <c r="W17" s="83" t="s">
        <v>62</v>
      </c>
      <c r="X17" s="84"/>
      <c r="Y17" s="84"/>
      <c r="Z17" s="84"/>
      <c r="AA17" s="84"/>
      <c r="AB17" s="99">
        <f>+'Wheat Graze Out'!G47</f>
        <v>44.94</v>
      </c>
    </row>
    <row r="18" spans="2:28" ht="1.5" customHeight="1" x14ac:dyDescent="0.25">
      <c r="B18" s="12"/>
      <c r="C18" s="16"/>
      <c r="D18" s="16"/>
      <c r="E18" s="16"/>
      <c r="F18" s="16"/>
      <c r="G18" s="54"/>
      <c r="I18" s="12"/>
      <c r="J18" s="16"/>
      <c r="K18" s="16"/>
      <c r="L18" s="16"/>
      <c r="M18" s="16"/>
      <c r="N18" s="54"/>
      <c r="P18" s="12"/>
      <c r="Q18" s="16"/>
      <c r="R18" s="16"/>
      <c r="S18" s="16"/>
      <c r="T18" s="16"/>
      <c r="U18" s="100"/>
      <c r="W18" s="83"/>
      <c r="X18" s="84"/>
      <c r="Y18" s="84"/>
      <c r="Z18" s="84"/>
      <c r="AA18" s="84"/>
      <c r="AB18" s="79"/>
    </row>
    <row r="19" spans="2:28" ht="15.75" thickBot="1" x14ac:dyDescent="0.3">
      <c r="B19" s="44" t="s">
        <v>73</v>
      </c>
      <c r="C19" s="56"/>
      <c r="D19" s="56"/>
      <c r="E19" s="56"/>
      <c r="F19" s="56"/>
      <c r="G19" s="98">
        <f>+G15-G17</f>
        <v>69.632125000000016</v>
      </c>
      <c r="I19" s="44" t="s">
        <v>73</v>
      </c>
      <c r="J19" s="56"/>
      <c r="K19" s="56"/>
      <c r="L19" s="56"/>
      <c r="M19" s="56"/>
      <c r="N19" s="98">
        <f>+N15-N17</f>
        <v>50.911905000000004</v>
      </c>
      <c r="O19" s="5"/>
      <c r="P19" s="44" t="s">
        <v>73</v>
      </c>
      <c r="Q19" s="56"/>
      <c r="R19" s="56"/>
      <c r="S19" s="56"/>
      <c r="T19" s="56"/>
      <c r="U19" s="98">
        <f>+U15-U17</f>
        <v>-19.279344999999992</v>
      </c>
      <c r="W19" s="44" t="s">
        <v>73</v>
      </c>
      <c r="X19" s="56"/>
      <c r="Y19" s="56"/>
      <c r="Z19" s="56"/>
      <c r="AA19" s="56"/>
      <c r="AB19" s="82">
        <f>+AB15-AB17</f>
        <v>-110.66541666666663</v>
      </c>
    </row>
    <row r="20" spans="2:28" ht="15.75" thickBot="1" x14ac:dyDescent="0.3">
      <c r="U20" s="94"/>
    </row>
    <row r="21" spans="2:28" x14ac:dyDescent="0.25">
      <c r="B21" s="11" t="s">
        <v>67</v>
      </c>
      <c r="C21" s="15"/>
      <c r="D21" s="15"/>
      <c r="E21" s="15"/>
      <c r="F21" s="15"/>
      <c r="G21" s="102">
        <f>+G13/G3</f>
        <v>6.1424468749999992</v>
      </c>
      <c r="I21" s="11" t="s">
        <v>67</v>
      </c>
      <c r="J21" s="15"/>
      <c r="K21" s="15"/>
      <c r="L21" s="15"/>
      <c r="M21" s="15"/>
      <c r="N21" s="102">
        <f>+(N13-N8)/N3</f>
        <v>6.1976598571428569</v>
      </c>
      <c r="O21" s="8"/>
      <c r="P21" s="11" t="s">
        <v>67</v>
      </c>
      <c r="Q21" s="15"/>
      <c r="R21" s="15"/>
      <c r="S21" s="15"/>
      <c r="T21" s="15"/>
      <c r="U21" s="95">
        <f>+(U13-N8)/U3</f>
        <v>5.6662312857142858</v>
      </c>
      <c r="W21" s="11" t="s">
        <v>81</v>
      </c>
      <c r="X21" s="15"/>
      <c r="Y21" s="15"/>
      <c r="Z21" s="15"/>
      <c r="AA21" s="15"/>
      <c r="AB21" s="46">
        <f>+AB13/AB4</f>
        <v>0.93605287973306239</v>
      </c>
    </row>
    <row r="22" spans="2:28" ht="15.75" thickBot="1" x14ac:dyDescent="0.3">
      <c r="B22" s="14" t="s">
        <v>66</v>
      </c>
      <c r="C22" s="17"/>
      <c r="D22" s="17"/>
      <c r="E22" s="17"/>
      <c r="F22" s="17"/>
      <c r="G22" s="103">
        <f>+(G13+G17)/G3</f>
        <v>7.7591968749999989</v>
      </c>
      <c r="I22" s="14" t="s">
        <v>66</v>
      </c>
      <c r="J22" s="17"/>
      <c r="K22" s="17"/>
      <c r="L22" s="17"/>
      <c r="M22" s="17"/>
      <c r="N22" s="103">
        <f>+(N13+N17-N8)/N3</f>
        <v>8.0453741428571437</v>
      </c>
      <c r="O22" s="8"/>
      <c r="P22" s="14" t="s">
        <v>66</v>
      </c>
      <c r="Q22" s="17"/>
      <c r="R22" s="17"/>
      <c r="S22" s="17"/>
      <c r="T22" s="17"/>
      <c r="U22" s="96">
        <f>+(U13+U17-N8)/U3</f>
        <v>7.5139455714285708</v>
      </c>
      <c r="W22" s="14" t="s">
        <v>82</v>
      </c>
      <c r="X22" s="17"/>
      <c r="Y22" s="17"/>
      <c r="Z22" s="17"/>
      <c r="AA22" s="17"/>
      <c r="AB22" s="18">
        <f>+(AB17+AB13)/AB4</f>
        <v>1.1316426084433482</v>
      </c>
    </row>
    <row r="23" spans="2:28" ht="4.9000000000000004" customHeight="1" thickBot="1" x14ac:dyDescent="0.3"/>
    <row r="24" spans="2:28" ht="16.5" thickTop="1" thickBot="1" x14ac:dyDescent="0.3">
      <c r="B24" s="352" t="s">
        <v>117</v>
      </c>
      <c r="C24" s="353"/>
      <c r="D24" s="353"/>
      <c r="E24" s="353"/>
      <c r="F24" s="353"/>
      <c r="G24" s="354"/>
      <c r="I24" s="352" t="s">
        <v>117</v>
      </c>
      <c r="J24" s="353"/>
      <c r="K24" s="353"/>
      <c r="L24" s="353"/>
      <c r="M24" s="353"/>
      <c r="N24" s="354"/>
      <c r="P24" s="352" t="s">
        <v>117</v>
      </c>
      <c r="Q24" s="353"/>
      <c r="R24" s="353"/>
      <c r="S24" s="353"/>
      <c r="T24" s="353"/>
      <c r="U24" s="354"/>
      <c r="W24" s="352" t="s">
        <v>117</v>
      </c>
      <c r="X24" s="353"/>
      <c r="Y24" s="353"/>
      <c r="Z24" s="353"/>
      <c r="AA24" s="353"/>
      <c r="AB24" s="354"/>
    </row>
    <row r="25" spans="2:28" ht="15.75" thickTop="1" x14ac:dyDescent="0.25">
      <c r="B25" s="60" t="s">
        <v>58</v>
      </c>
      <c r="C25" s="361" t="s">
        <v>114</v>
      </c>
      <c r="D25" s="362"/>
      <c r="E25" s="362" t="s">
        <v>60</v>
      </c>
      <c r="F25" s="362"/>
      <c r="G25" s="363"/>
      <c r="I25" s="60" t="s">
        <v>58</v>
      </c>
      <c r="J25" s="174" t="s">
        <v>114</v>
      </c>
      <c r="K25" s="175"/>
      <c r="L25" s="175" t="s">
        <v>60</v>
      </c>
      <c r="M25" s="175"/>
      <c r="N25" s="176"/>
      <c r="O25" s="7"/>
      <c r="P25" s="60" t="s">
        <v>58</v>
      </c>
      <c r="Q25" s="174" t="s">
        <v>114</v>
      </c>
      <c r="R25" s="175"/>
      <c r="S25" s="175" t="s">
        <v>60</v>
      </c>
      <c r="T25" s="175"/>
      <c r="U25" s="176"/>
      <c r="W25" s="60" t="s">
        <v>109</v>
      </c>
      <c r="X25" s="361" t="s">
        <v>107</v>
      </c>
      <c r="Y25" s="362"/>
      <c r="Z25" s="362"/>
      <c r="AA25" s="362"/>
      <c r="AB25" s="363"/>
    </row>
    <row r="26" spans="2:28" ht="15.75" thickBot="1" x14ac:dyDescent="0.3">
      <c r="B26" s="61"/>
      <c r="C26" s="74">
        <f>+E26*0.9</f>
        <v>8.5500000000000007</v>
      </c>
      <c r="D26" s="75">
        <f>+E26*0.95</f>
        <v>9.0250000000000004</v>
      </c>
      <c r="E26" s="80">
        <f>+G5</f>
        <v>9.5</v>
      </c>
      <c r="F26" s="75">
        <f>+E26*1.05</f>
        <v>9.9749999999999996</v>
      </c>
      <c r="G26" s="76">
        <f>+E26*1.1</f>
        <v>10.450000000000001</v>
      </c>
      <c r="I26" s="61"/>
      <c r="J26" s="74">
        <f>+L26*0.9</f>
        <v>8.5500000000000007</v>
      </c>
      <c r="K26" s="75">
        <f>+L26*0.95</f>
        <v>9.0250000000000004</v>
      </c>
      <c r="L26" s="80">
        <f>+N5</f>
        <v>9.5</v>
      </c>
      <c r="M26" s="75">
        <f>+L26*1.05</f>
        <v>9.9749999999999996</v>
      </c>
      <c r="N26" s="76">
        <f>+L26*1.1</f>
        <v>10.450000000000001</v>
      </c>
      <c r="O26" s="9"/>
      <c r="P26" s="61"/>
      <c r="Q26" s="74">
        <f>+S26*0.9</f>
        <v>8.5500000000000007</v>
      </c>
      <c r="R26" s="75">
        <f>+S26*0.95</f>
        <v>9.0250000000000004</v>
      </c>
      <c r="S26" s="80">
        <f>+U5</f>
        <v>9.5</v>
      </c>
      <c r="T26" s="75">
        <f>+S26*1.05</f>
        <v>9.9749999999999996</v>
      </c>
      <c r="U26" s="76">
        <f>+S26*1.1</f>
        <v>10.450000000000001</v>
      </c>
      <c r="W26" s="61" t="s">
        <v>8</v>
      </c>
      <c r="X26" s="74">
        <v>0.44</v>
      </c>
      <c r="Y26" s="75">
        <f>+Z26*0.9</f>
        <v>0.58500000000000008</v>
      </c>
      <c r="Z26" s="90">
        <f>+'Wheat Graze Out'!N5</f>
        <v>0.65</v>
      </c>
      <c r="AA26" s="75">
        <v>0.7</v>
      </c>
      <c r="AB26" s="76">
        <v>0.8</v>
      </c>
    </row>
    <row r="27" spans="2:28" ht="15.75" thickTop="1" x14ac:dyDescent="0.25">
      <c r="B27" s="62">
        <f>B28*0.85</f>
        <v>30.599999999999998</v>
      </c>
      <c r="C27" s="63">
        <f>+(C$26*$B27-$G$13-$G$17)</f>
        <v>-48.737874999999988</v>
      </c>
      <c r="D27" s="64">
        <f>+(D$26*$B27-$G$13-$G$17)</f>
        <v>-34.20287500000002</v>
      </c>
      <c r="E27" s="64">
        <f t="shared" ref="E27:G27" si="0">+(E$26*$B27-$G$13-$G$17)</f>
        <v>-19.667874999999995</v>
      </c>
      <c r="F27" s="64">
        <f t="shared" si="0"/>
        <v>-5.1328750000000269</v>
      </c>
      <c r="G27" s="65">
        <f t="shared" si="0"/>
        <v>9.4021250000000549</v>
      </c>
      <c r="I27" s="62">
        <f>B$27-$D$34</f>
        <v>25.599999999999998</v>
      </c>
      <c r="J27" s="63">
        <f>+(J$26*$I27+$N$8-$N$13-$N$17)</f>
        <v>-62.708095</v>
      </c>
      <c r="K27" s="64">
        <f t="shared" ref="K27:N27" si="1">+(K$26*$I27+$N$8-$N$13-$N$17)</f>
        <v>-50.548095000000032</v>
      </c>
      <c r="L27" s="64">
        <f t="shared" si="1"/>
        <v>-38.388095000000007</v>
      </c>
      <c r="M27" s="64">
        <f t="shared" si="1"/>
        <v>-26.228095000000039</v>
      </c>
      <c r="N27" s="65">
        <f t="shared" si="1"/>
        <v>-14.068095000000014</v>
      </c>
      <c r="P27" s="62">
        <f>I27</f>
        <v>25.599999999999998</v>
      </c>
      <c r="Q27" s="63">
        <f>+(Q$26*$P27*$U$6+$U$8-$U$13-$U$17)</f>
        <v>-90.291844999999981</v>
      </c>
      <c r="R27" s="64">
        <f t="shared" ref="R27:U27" si="2">+(R$26*$P27*$U$6+$U$8-$U$13-$U$17)</f>
        <v>-82.691844999999986</v>
      </c>
      <c r="S27" s="64">
        <f t="shared" si="2"/>
        <v>-75.091844999999992</v>
      </c>
      <c r="T27" s="64">
        <f t="shared" si="2"/>
        <v>-67.491845000000026</v>
      </c>
      <c r="U27" s="65">
        <f t="shared" si="2"/>
        <v>-59.891845000000004</v>
      </c>
      <c r="W27" s="62">
        <f>+W29*0.9</f>
        <v>206.79000000000002</v>
      </c>
      <c r="X27" s="63">
        <f>+(X$26*$W27)-$AB$13-$AB$17</f>
        <v>-169.02614999999997</v>
      </c>
      <c r="Y27" s="64">
        <f t="shared" ref="Y27:AB27" si="3">+(Y$26*$W27)-$AB$13-$AB$17</f>
        <v>-139.04159999999996</v>
      </c>
      <c r="Z27" s="64">
        <f t="shared" si="3"/>
        <v>-125.60024999999996</v>
      </c>
      <c r="AA27" s="64">
        <f t="shared" si="3"/>
        <v>-115.26074999999997</v>
      </c>
      <c r="AB27" s="65">
        <f t="shared" si="3"/>
        <v>-94.581749999999971</v>
      </c>
    </row>
    <row r="28" spans="2:28" ht="15.75" thickBot="1" x14ac:dyDescent="0.3">
      <c r="B28" s="66">
        <f>B29*0.9</f>
        <v>36</v>
      </c>
      <c r="C28" s="67">
        <f t="shared" ref="C28:G31" si="4">+(C$26*$B28-$G$13-$G$17)</f>
        <v>-2.5678749999999724</v>
      </c>
      <c r="D28" s="68">
        <f t="shared" si="4"/>
        <v>14.53212500000005</v>
      </c>
      <c r="E28" s="135">
        <f t="shared" si="4"/>
        <v>31.632125000000016</v>
      </c>
      <c r="F28" s="68">
        <f t="shared" si="4"/>
        <v>48.732124999999982</v>
      </c>
      <c r="G28" s="69">
        <f t="shared" si="4"/>
        <v>65.832125000000062</v>
      </c>
      <c r="I28" s="62">
        <f>B28-$D$34</f>
        <v>31</v>
      </c>
      <c r="J28" s="67">
        <f t="shared" ref="J28:N31" si="5">+(J$26*$I28+$N$8-$N$13-$N$17)</f>
        <v>-16.538094999999984</v>
      </c>
      <c r="K28" s="68">
        <f t="shared" si="5"/>
        <v>-1.8130949999999615</v>
      </c>
      <c r="L28" s="135">
        <f t="shared" si="5"/>
        <v>12.911905000000004</v>
      </c>
      <c r="M28" s="68">
        <f t="shared" si="5"/>
        <v>27.63690499999997</v>
      </c>
      <c r="N28" s="69">
        <f t="shared" si="5"/>
        <v>42.36190500000005</v>
      </c>
      <c r="P28" s="62">
        <f t="shared" ref="P28:P31" si="6">I28</f>
        <v>31</v>
      </c>
      <c r="Q28" s="67">
        <f t="shared" ref="Q28:U31" si="7">+(Q$26*$P28*$U$6+$U$8-$U$13-$U$17)</f>
        <v>-61.435594999999992</v>
      </c>
      <c r="R28" s="68">
        <f t="shared" si="7"/>
        <v>-52.232469999999992</v>
      </c>
      <c r="S28" s="135">
        <f t="shared" si="7"/>
        <v>-43.029344999999992</v>
      </c>
      <c r="T28" s="68">
        <f t="shared" si="7"/>
        <v>-33.826219999999992</v>
      </c>
      <c r="U28" s="69">
        <f t="shared" si="7"/>
        <v>-24.623094999999992</v>
      </c>
      <c r="W28" s="66">
        <f>+W29*0.95</f>
        <v>218.27833333333334</v>
      </c>
      <c r="X28" s="67">
        <f t="shared" ref="X28:AB31" si="8">+(X$26*$W28)-$AB$13-$AB$17</f>
        <v>-163.9712833333333</v>
      </c>
      <c r="Y28" s="68">
        <f t="shared" si="8"/>
        <v>-132.32092499999999</v>
      </c>
      <c r="Z28" s="135">
        <f t="shared" si="8"/>
        <v>-118.13283333333331</v>
      </c>
      <c r="AA28" s="68">
        <f t="shared" si="8"/>
        <v>-107.21891666666667</v>
      </c>
      <c r="AB28" s="69">
        <f t="shared" si="8"/>
        <v>-85.391083333333313</v>
      </c>
    </row>
    <row r="29" spans="2:28" ht="15.75" thickBot="1" x14ac:dyDescent="0.3">
      <c r="B29" s="81">
        <f>+G3</f>
        <v>40</v>
      </c>
      <c r="C29" s="67">
        <f t="shared" si="4"/>
        <v>31.632125000000016</v>
      </c>
      <c r="D29" s="133">
        <f t="shared" si="4"/>
        <v>50.632125000000016</v>
      </c>
      <c r="E29" s="137">
        <f t="shared" si="4"/>
        <v>69.632125000000016</v>
      </c>
      <c r="F29" s="134">
        <f t="shared" si="4"/>
        <v>88.632125000000016</v>
      </c>
      <c r="G29" s="69">
        <f t="shared" si="4"/>
        <v>107.63212500000007</v>
      </c>
      <c r="I29" s="81">
        <f>+N3</f>
        <v>35</v>
      </c>
      <c r="J29" s="67">
        <f t="shared" si="5"/>
        <v>17.661905000000004</v>
      </c>
      <c r="K29" s="133">
        <f t="shared" si="5"/>
        <v>34.286905000000004</v>
      </c>
      <c r="L29" s="137">
        <f>+(L$26*$I29+$N$8-$N$13-$N$17)</f>
        <v>50.911905000000004</v>
      </c>
      <c r="M29" s="134">
        <f t="shared" si="5"/>
        <v>67.536905000000004</v>
      </c>
      <c r="N29" s="69">
        <f t="shared" si="5"/>
        <v>84.161905000000061</v>
      </c>
      <c r="P29" s="62">
        <f t="shared" si="6"/>
        <v>35</v>
      </c>
      <c r="Q29" s="67">
        <f t="shared" si="7"/>
        <v>-40.060594999999992</v>
      </c>
      <c r="R29" s="133">
        <f t="shared" si="7"/>
        <v>-29.669969999999992</v>
      </c>
      <c r="S29" s="137">
        <f t="shared" si="7"/>
        <v>-19.279344999999992</v>
      </c>
      <c r="T29" s="134">
        <f t="shared" si="7"/>
        <v>-8.8887199999999922</v>
      </c>
      <c r="U29" s="69">
        <f t="shared" si="7"/>
        <v>1.5019050000000078</v>
      </c>
      <c r="W29" s="81">
        <f>+AB4</f>
        <v>229.76666666666668</v>
      </c>
      <c r="X29" s="67">
        <f t="shared" si="8"/>
        <v>-158.91641666666663</v>
      </c>
      <c r="Y29" s="133">
        <f t="shared" si="8"/>
        <v>-125.60024999999996</v>
      </c>
      <c r="Z29" s="137">
        <f t="shared" si="8"/>
        <v>-110.66541666666663</v>
      </c>
      <c r="AA29" s="134">
        <f t="shared" si="8"/>
        <v>-99.177083333333314</v>
      </c>
      <c r="AB29" s="69">
        <f t="shared" si="8"/>
        <v>-76.200416666666626</v>
      </c>
    </row>
    <row r="30" spans="2:28" x14ac:dyDescent="0.25">
      <c r="B30" s="66">
        <f>+B29*1.1</f>
        <v>44</v>
      </c>
      <c r="C30" s="67">
        <f t="shared" si="4"/>
        <v>65.832125000000062</v>
      </c>
      <c r="D30" s="68">
        <f t="shared" si="4"/>
        <v>86.732125000000039</v>
      </c>
      <c r="E30" s="136">
        <f t="shared" si="4"/>
        <v>107.63212500000002</v>
      </c>
      <c r="F30" s="68">
        <f t="shared" si="4"/>
        <v>128.53212500000001</v>
      </c>
      <c r="G30" s="69">
        <f t="shared" si="4"/>
        <v>149.4321250000001</v>
      </c>
      <c r="I30" s="62">
        <f>B30-$D$34</f>
        <v>39</v>
      </c>
      <c r="J30" s="67">
        <f t="shared" si="5"/>
        <v>51.86190500000005</v>
      </c>
      <c r="K30" s="68">
        <f t="shared" si="5"/>
        <v>70.386905000000027</v>
      </c>
      <c r="L30" s="136">
        <f t="shared" si="5"/>
        <v>88.911905000000004</v>
      </c>
      <c r="M30" s="68">
        <f t="shared" si="5"/>
        <v>107.43690499999998</v>
      </c>
      <c r="N30" s="69">
        <f t="shared" si="5"/>
        <v>125.96190500000007</v>
      </c>
      <c r="P30" s="62">
        <f t="shared" si="6"/>
        <v>39</v>
      </c>
      <c r="Q30" s="67">
        <f t="shared" si="7"/>
        <v>-18.685594999999992</v>
      </c>
      <c r="R30" s="68">
        <f t="shared" si="7"/>
        <v>-7.1074699999999922</v>
      </c>
      <c r="S30" s="136">
        <f t="shared" si="7"/>
        <v>4.4706550000000078</v>
      </c>
      <c r="T30" s="68">
        <f t="shared" si="7"/>
        <v>16.048780000000008</v>
      </c>
      <c r="U30" s="69">
        <f t="shared" si="7"/>
        <v>27.626905000000065</v>
      </c>
      <c r="W30" s="66">
        <f>+W29*1.05</f>
        <v>241.25500000000002</v>
      </c>
      <c r="X30" s="67">
        <f t="shared" si="8"/>
        <v>-153.86154999999997</v>
      </c>
      <c r="Y30" s="68">
        <f t="shared" si="8"/>
        <v>-118.87957499999996</v>
      </c>
      <c r="Z30" s="136">
        <f t="shared" si="8"/>
        <v>-103.19799999999998</v>
      </c>
      <c r="AA30" s="68">
        <f t="shared" si="8"/>
        <v>-91.135249999999985</v>
      </c>
      <c r="AB30" s="69">
        <f t="shared" si="8"/>
        <v>-67.009749999999968</v>
      </c>
    </row>
    <row r="31" spans="2:28" ht="15.75" thickBot="1" x14ac:dyDescent="0.3">
      <c r="B31" s="70">
        <f>+B29*1.2</f>
        <v>48</v>
      </c>
      <c r="C31" s="71">
        <f t="shared" si="4"/>
        <v>100.03212500000005</v>
      </c>
      <c r="D31" s="72">
        <f t="shared" si="4"/>
        <v>122.83212500000006</v>
      </c>
      <c r="E31" s="72">
        <f t="shared" si="4"/>
        <v>145.63212500000003</v>
      </c>
      <c r="F31" s="72">
        <f t="shared" si="4"/>
        <v>168.43212499999998</v>
      </c>
      <c r="G31" s="73">
        <f t="shared" si="4"/>
        <v>191.23212500000005</v>
      </c>
      <c r="I31" s="62">
        <f>B31-$D$34</f>
        <v>43</v>
      </c>
      <c r="J31" s="71">
        <f t="shared" si="5"/>
        <v>86.061905000000039</v>
      </c>
      <c r="K31" s="72">
        <f t="shared" si="5"/>
        <v>106.48690499999999</v>
      </c>
      <c r="L31" s="72">
        <f t="shared" si="5"/>
        <v>126.911905</v>
      </c>
      <c r="M31" s="72">
        <f t="shared" si="5"/>
        <v>147.336905</v>
      </c>
      <c r="N31" s="73">
        <f t="shared" si="5"/>
        <v>167.76190500000001</v>
      </c>
      <c r="P31" s="62">
        <f t="shared" si="6"/>
        <v>43</v>
      </c>
      <c r="Q31" s="71">
        <f t="shared" si="7"/>
        <v>2.6894050000000078</v>
      </c>
      <c r="R31" s="72">
        <f t="shared" si="7"/>
        <v>15.455030000000008</v>
      </c>
      <c r="S31" s="72">
        <f t="shared" si="7"/>
        <v>28.220655000000008</v>
      </c>
      <c r="T31" s="72">
        <f t="shared" si="7"/>
        <v>40.986280000000008</v>
      </c>
      <c r="U31" s="73">
        <f t="shared" si="7"/>
        <v>53.751905000000008</v>
      </c>
      <c r="W31" s="70">
        <f>+W30*1.1</f>
        <v>265.38050000000004</v>
      </c>
      <c r="X31" s="71">
        <f t="shared" si="8"/>
        <v>-143.24632999999997</v>
      </c>
      <c r="Y31" s="72">
        <f t="shared" si="8"/>
        <v>-104.76615749999993</v>
      </c>
      <c r="Z31" s="72">
        <f t="shared" si="8"/>
        <v>-87.516424999999941</v>
      </c>
      <c r="AA31" s="72">
        <f t="shared" si="8"/>
        <v>-74.247399999999971</v>
      </c>
      <c r="AB31" s="73">
        <f t="shared" si="8"/>
        <v>-47.709349999999944</v>
      </c>
    </row>
    <row r="32" spans="2:28" ht="16.5" hidden="1" thickTop="1" thickBot="1" x14ac:dyDescent="0.3">
      <c r="B32" s="92"/>
      <c r="C32" s="91"/>
      <c r="D32" s="91"/>
      <c r="E32" s="91"/>
      <c r="F32" s="91"/>
      <c r="G32" s="91"/>
      <c r="I32" s="92"/>
      <c r="J32" s="91"/>
      <c r="K32" s="91"/>
      <c r="L32" s="91"/>
      <c r="M32" s="91"/>
      <c r="N32" s="91"/>
      <c r="P32" s="92"/>
      <c r="Q32" s="91"/>
      <c r="R32" s="91"/>
      <c r="S32" s="91">
        <f>34+15</f>
        <v>49</v>
      </c>
      <c r="T32" s="91"/>
      <c r="U32" s="91"/>
      <c r="W32" s="92"/>
      <c r="X32" s="91"/>
      <c r="Y32" s="91"/>
      <c r="Z32" s="91"/>
      <c r="AA32" s="91"/>
      <c r="AB32" s="91"/>
    </row>
    <row r="33" spans="2:28" ht="16.5" hidden="1" thickTop="1" thickBot="1" x14ac:dyDescent="0.3">
      <c r="B33" s="92"/>
      <c r="C33" s="91"/>
      <c r="D33" s="91"/>
      <c r="E33" s="91"/>
      <c r="F33" s="91"/>
      <c r="G33" s="240" t="s">
        <v>156</v>
      </c>
      <c r="I33" s="352" t="s">
        <v>162</v>
      </c>
      <c r="J33" s="353"/>
      <c r="K33" s="353"/>
      <c r="L33" s="353"/>
      <c r="M33" s="353"/>
      <c r="N33" s="354"/>
      <c r="P33" s="352" t="s">
        <v>163</v>
      </c>
      <c r="Q33" s="353"/>
      <c r="R33" s="353"/>
      <c r="S33" s="353"/>
      <c r="T33" s="353"/>
      <c r="U33" s="354"/>
      <c r="W33" s="352" t="s">
        <v>165</v>
      </c>
      <c r="X33" s="353"/>
      <c r="Y33" s="353"/>
      <c r="Z33" s="353"/>
      <c r="AA33" s="353"/>
      <c r="AB33" s="354"/>
    </row>
    <row r="34" spans="2:28" ht="15.75" hidden="1" thickTop="1" x14ac:dyDescent="0.25">
      <c r="B34" s="219"/>
      <c r="C34" s="91"/>
      <c r="D34" s="92">
        <v>5</v>
      </c>
      <c r="E34" s="92" t="s">
        <v>168</v>
      </c>
      <c r="G34" s="241" t="s">
        <v>170</v>
      </c>
      <c r="I34" s="60" t="s">
        <v>156</v>
      </c>
      <c r="J34" s="361" t="s">
        <v>155</v>
      </c>
      <c r="K34" s="362"/>
      <c r="L34" s="362"/>
      <c r="M34" s="362"/>
      <c r="N34" s="363"/>
      <c r="P34" s="60" t="s">
        <v>156</v>
      </c>
      <c r="Q34" s="361" t="s">
        <v>155</v>
      </c>
      <c r="R34" s="362"/>
      <c r="S34" s="362"/>
      <c r="T34" s="362"/>
      <c r="U34" s="363"/>
      <c r="W34" s="60" t="s">
        <v>156</v>
      </c>
      <c r="X34" s="361" t="s">
        <v>155</v>
      </c>
      <c r="Y34" s="362"/>
      <c r="Z34" s="362"/>
      <c r="AA34" s="362"/>
      <c r="AB34" s="363"/>
    </row>
    <row r="35" spans="2:28" ht="15.75" hidden="1" thickBot="1" x14ac:dyDescent="0.3">
      <c r="C35" s="91"/>
      <c r="D35" s="91"/>
      <c r="E35" s="91"/>
      <c r="F35" s="91"/>
      <c r="G35" s="235" t="s">
        <v>58</v>
      </c>
      <c r="I35" s="61" t="s">
        <v>58</v>
      </c>
      <c r="J35" s="74">
        <f>J26</f>
        <v>8.5500000000000007</v>
      </c>
      <c r="K35" s="75">
        <f t="shared" ref="K35:N35" si="9">K26</f>
        <v>9.0250000000000004</v>
      </c>
      <c r="L35" s="216">
        <f t="shared" si="9"/>
        <v>9.5</v>
      </c>
      <c r="M35" s="75">
        <f t="shared" si="9"/>
        <v>9.9749999999999996</v>
      </c>
      <c r="N35" s="76">
        <f t="shared" si="9"/>
        <v>10.450000000000001</v>
      </c>
      <c r="P35" s="61" t="s">
        <v>58</v>
      </c>
      <c r="Q35" s="74">
        <f>Q26</f>
        <v>8.5500000000000007</v>
      </c>
      <c r="R35" s="75">
        <f t="shared" ref="R35:U35" si="10">R26</f>
        <v>9.0250000000000004</v>
      </c>
      <c r="S35" s="216">
        <f t="shared" si="10"/>
        <v>9.5</v>
      </c>
      <c r="T35" s="75">
        <f t="shared" si="10"/>
        <v>9.9749999999999996</v>
      </c>
      <c r="U35" s="76">
        <f t="shared" si="10"/>
        <v>10.450000000000001</v>
      </c>
      <c r="W35" s="61" t="s">
        <v>58</v>
      </c>
      <c r="X35" s="74">
        <f>C26</f>
        <v>8.5500000000000007</v>
      </c>
      <c r="Y35" s="75">
        <f t="shared" ref="Y35:AB35" si="11">D26</f>
        <v>9.0250000000000004</v>
      </c>
      <c r="Z35" s="80">
        <f t="shared" si="11"/>
        <v>9.5</v>
      </c>
      <c r="AA35" s="75">
        <f t="shared" si="11"/>
        <v>9.9749999999999996</v>
      </c>
      <c r="AB35" s="76">
        <f t="shared" si="11"/>
        <v>10.450000000000001</v>
      </c>
    </row>
    <row r="36" spans="2:28" ht="15.75" hidden="1" thickTop="1" x14ac:dyDescent="0.25">
      <c r="C36" s="91"/>
      <c r="D36" s="91"/>
      <c r="E36" s="91"/>
      <c r="F36" s="91"/>
      <c r="G36" s="236">
        <f>G37*0.85</f>
        <v>30.599999999999998</v>
      </c>
      <c r="I36" s="62">
        <f>I27</f>
        <v>25.599999999999998</v>
      </c>
      <c r="J36" s="178">
        <f>(C27-J27)/$N$4+'Wheat Dual  ~700Lb'!$F$4</f>
        <v>0.81933600000000018</v>
      </c>
      <c r="K36" s="179">
        <f>(D27-K27)/$N$4+'Wheat Dual  ~700Lb'!$F$4</f>
        <v>0.84812387878787898</v>
      </c>
      <c r="L36" s="179">
        <f>(E27-L27)/$N$4+'Wheat Dual  ~700Lb'!$F$4</f>
        <v>0.87691175757575768</v>
      </c>
      <c r="M36" s="179">
        <f>(F27-M27)/$N$4+'Wheat Dual  ~700Lb'!$F$4</f>
        <v>0.90569963636363648</v>
      </c>
      <c r="N36" s="180">
        <f>(G27-N27)/$N$4+'Wheat Dual  ~700Lb'!$F$4</f>
        <v>0.93448751515151596</v>
      </c>
      <c r="P36" s="62">
        <f>P27</f>
        <v>25.599999999999998</v>
      </c>
      <c r="Q36" s="178">
        <f>(C27-Q27)/$U$4+'Wheat Dual ~800Lb'!$F$5</f>
        <v>0.95171697222726437</v>
      </c>
      <c r="R36" s="179">
        <f>(D27-R27)/$U$4+'Wheat Dual ~800Lb'!$F$5</f>
        <v>1.0020709384643309</v>
      </c>
      <c r="S36" s="179">
        <f>(E27-S27)/$U$4+'Wheat Dual ~800Lb'!$F$5</f>
        <v>1.0524249047013976</v>
      </c>
      <c r="T36" s="179">
        <f>(F27-T27)/$U$4+'Wheat Dual ~800Lb'!$F$5</f>
        <v>1.1027788709384643</v>
      </c>
      <c r="U36" s="180">
        <f>(G27-U27)/$U$4+'Wheat Dual ~800Lb'!$F$5</f>
        <v>1.1531328371755314</v>
      </c>
      <c r="W36" s="62">
        <f>B27</f>
        <v>30.599999999999998</v>
      </c>
      <c r="X36" s="178">
        <f>(C27-$Z$29)/$AB$4+'Wheat Graze Out'!$N$5</f>
        <v>0.91952361090961832</v>
      </c>
      <c r="Y36" s="179">
        <f>(D27-$Z$29)/$AB$4+'Wheat Graze Out'!$N$5</f>
        <v>0.98278343972145632</v>
      </c>
      <c r="Z36" s="179">
        <f>(E27-$Z$29)/$AB$4+'Wheat Graze Out'!$N$5</f>
        <v>1.0460432685332945</v>
      </c>
      <c r="AA36" s="179">
        <f>(F27-$Z$29)/$AB$4+'Wheat Graze Out'!$N$5</f>
        <v>1.1093030973451325</v>
      </c>
      <c r="AB36" s="180">
        <f>(G27-AB27)/$AB$4+'Wheat Graze Out'!$N$5</f>
        <v>1.1025629261569709</v>
      </c>
    </row>
    <row r="37" spans="2:28" ht="15.75" hidden="1" thickBot="1" x14ac:dyDescent="0.3">
      <c r="C37" s="91"/>
      <c r="D37" s="91"/>
      <c r="E37" s="91"/>
      <c r="F37" s="91"/>
      <c r="G37" s="237">
        <f>G38*0.9</f>
        <v>36</v>
      </c>
      <c r="I37" s="66">
        <f t="shared" ref="I37:I40" si="12">I28</f>
        <v>31</v>
      </c>
      <c r="J37" s="181">
        <f>(C28-J28)/$N$4+'Wheat Dual  ~700Lb'!$F$4</f>
        <v>0.81933600000000018</v>
      </c>
      <c r="K37" s="182">
        <f>(D28-K28)/$N$4+'Wheat Dual  ~700Lb'!$F$4</f>
        <v>0.84812387878787898</v>
      </c>
      <c r="L37" s="183">
        <f>(E28-L28)/$N$4+'Wheat Dual  ~700Lb'!$F$4</f>
        <v>0.87691175757575768</v>
      </c>
      <c r="M37" s="182">
        <f>(F28-M28)/$N$4+'Wheat Dual  ~700Lb'!$F$4</f>
        <v>0.90569963636363648</v>
      </c>
      <c r="N37" s="184">
        <f>(G28-N28)/$N$4+'Wheat Dual  ~700Lb'!$F$4</f>
        <v>0.93448751515151529</v>
      </c>
      <c r="P37" s="66">
        <f t="shared" ref="P37:P40" si="13">P28</f>
        <v>31</v>
      </c>
      <c r="Q37" s="181">
        <f>(C28-Q28)/$U$4+'Wheat Dual ~800Lb'!$F$5</f>
        <v>1.0774294427300781</v>
      </c>
      <c r="R37" s="182">
        <f>(D28-R28)/$U$4+'Wheat Dual ~800Lb'!$F$5</f>
        <v>1.13476743510619</v>
      </c>
      <c r="S37" s="183">
        <f>(E28-S28)/$U$4+'Wheat Dual ~800Lb'!$F$5</f>
        <v>1.1921054274823017</v>
      </c>
      <c r="T37" s="182">
        <f>(F28-T28)/$U$4+'Wheat Dual ~800Lb'!$F$5</f>
        <v>1.2494434198584132</v>
      </c>
      <c r="U37" s="184">
        <f>(G28-U28)/$U$4+'Wheat Dual ~800Lb'!$F$5</f>
        <v>1.3067814122345256</v>
      </c>
      <c r="W37" s="66">
        <f t="shared" ref="W37:W40" si="14">B28</f>
        <v>36</v>
      </c>
      <c r="X37" s="181">
        <f>(C28-$Z$29)/$AB$4+'Wheat Graze Out'!$N$5</f>
        <v>1.1204665965472218</v>
      </c>
      <c r="Y37" s="182">
        <f>(D28-$Z$29)/$AB$4+'Wheat Graze Out'!$N$5</f>
        <v>1.1948899245611491</v>
      </c>
      <c r="Z37" s="183">
        <f>(E28-$Z$29)/$AB$4+'Wheat Graze Out'!$N$5</f>
        <v>1.2693132525750759</v>
      </c>
      <c r="AA37" s="182">
        <f>(F28-$Z$29)/$AB$4+'Wheat Graze Out'!$N$5</f>
        <v>1.3437365805890029</v>
      </c>
      <c r="AB37" s="184">
        <f>(G28-AB28)/$AB$4+'Wheat Graze Out'!$N$5</f>
        <v>1.3081599086029307</v>
      </c>
    </row>
    <row r="38" spans="2:28" ht="15.75" hidden="1" thickBot="1" x14ac:dyDescent="0.3">
      <c r="C38" s="91"/>
      <c r="D38" s="91"/>
      <c r="E38" s="91"/>
      <c r="F38" s="91"/>
      <c r="G38" s="238">
        <f>+B29</f>
        <v>40</v>
      </c>
      <c r="I38" s="217">
        <f t="shared" si="12"/>
        <v>35</v>
      </c>
      <c r="J38" s="181">
        <f>(C29-J29)/$N$4+'Wheat Dual  ~700Lb'!$F$4</f>
        <v>0.81933600000000018</v>
      </c>
      <c r="K38" s="185">
        <f>(D29-K29)/$N$4+'Wheat Dual  ~700Lb'!$F$4</f>
        <v>0.84812387878787898</v>
      </c>
      <c r="L38" s="177">
        <f>(E29-L29)/$N$4+'Wheat Dual  ~700Lb'!$F$4</f>
        <v>0.87691175757575768</v>
      </c>
      <c r="M38" s="186">
        <f>(F29-M29)/$N$4+'Wheat Dual  ~700Lb'!$F$4</f>
        <v>0.90569963636363648</v>
      </c>
      <c r="N38" s="184">
        <f>(G29-N29)/$N$4+'Wheat Dual  ~700Lb'!$F$4</f>
        <v>0.93448751515151529</v>
      </c>
      <c r="P38" s="217">
        <f t="shared" si="13"/>
        <v>35</v>
      </c>
      <c r="Q38" s="181">
        <f>(C29-Q29)/$U$4+'Wheat Dual ~800Lb'!$F$5</f>
        <v>1.1705497912506808</v>
      </c>
      <c r="R38" s="185">
        <f>(D29-R29)/$U$4+'Wheat Dual ~800Lb'!$F$5</f>
        <v>1.2330611363223816</v>
      </c>
      <c r="S38" s="177">
        <f>(E29-S29)/$U$4+'Wheat Dual ~800Lb'!$F$5</f>
        <v>1.2955724813940823</v>
      </c>
      <c r="T38" s="186">
        <f>(F29-T29)/$U$4+'Wheat Dual ~800Lb'!$F$5</f>
        <v>1.3580838264657831</v>
      </c>
      <c r="U38" s="184">
        <f>(G29-U29)/$U$4+'Wheat Dual ~800Lb'!$F$5</f>
        <v>1.4205951715374845</v>
      </c>
      <c r="W38" s="217">
        <f t="shared" si="14"/>
        <v>40</v>
      </c>
      <c r="X38" s="181">
        <f>(C29-$Z$29)/$AB$4+'Wheat Graze Out'!$N$5</f>
        <v>1.2693132525750759</v>
      </c>
      <c r="Y38" s="185">
        <f>(D29-$Z$29)/$AB$4+'Wheat Graze Out'!$N$5</f>
        <v>1.3520058392572172</v>
      </c>
      <c r="Z38" s="177">
        <f>(E29-$Z$29)/$AB$4+'Wheat Graze Out'!$N$5</f>
        <v>1.4346984259393585</v>
      </c>
      <c r="AA38" s="186">
        <f>(F29-$Z$29)/$AB$4+'Wheat Graze Out'!$N$5</f>
        <v>1.5173910126214998</v>
      </c>
      <c r="AB38" s="184">
        <f>(G29-$Z$29)/$AB$4+'Wheat Graze Out'!$N$5</f>
        <v>1.6000835993036415</v>
      </c>
    </row>
    <row r="39" spans="2:28" hidden="1" x14ac:dyDescent="0.25">
      <c r="C39" s="91"/>
      <c r="D39" s="91"/>
      <c r="E39" s="91"/>
      <c r="F39" s="91"/>
      <c r="G39" s="237">
        <f>+G38*1.1</f>
        <v>44</v>
      </c>
      <c r="I39" s="66">
        <f t="shared" si="12"/>
        <v>39</v>
      </c>
      <c r="J39" s="181">
        <f>(C30-J30)/$N$4+'Wheat Dual  ~700Lb'!$F$4</f>
        <v>0.81933600000000018</v>
      </c>
      <c r="K39" s="182">
        <f>(D30-K30)/$N$4+'Wheat Dual  ~700Lb'!$F$4</f>
        <v>0.84812387878787898</v>
      </c>
      <c r="L39" s="187">
        <f>(E30-L30)/$N$4+'Wheat Dual  ~700Lb'!$F$4</f>
        <v>0.87691175757575768</v>
      </c>
      <c r="M39" s="182">
        <f>(F30-M30)/$N$4+'Wheat Dual  ~700Lb'!$F$4</f>
        <v>0.90569963636363671</v>
      </c>
      <c r="N39" s="184">
        <f>(G30-N30)/$N$4+'Wheat Dual  ~700Lb'!$F$4</f>
        <v>0.93448751515151551</v>
      </c>
      <c r="P39" s="66">
        <f t="shared" si="13"/>
        <v>39</v>
      </c>
      <c r="Q39" s="181">
        <f>(C30-Q30)/$U$4+'Wheat Dual ~800Lb'!$F$5</f>
        <v>1.2636701397712837</v>
      </c>
      <c r="R39" s="182">
        <f>(D30-R30)/$U$4+'Wheat Dual ~800Lb'!$F$5</f>
        <v>1.3313548375385733</v>
      </c>
      <c r="S39" s="187">
        <f>(E30-S30)/$U$4+'Wheat Dual ~800Lb'!$F$5</f>
        <v>1.3990395353058631</v>
      </c>
      <c r="T39" s="182">
        <f>(F30-T30)/$U$4+'Wheat Dual ~800Lb'!$F$5</f>
        <v>1.4667242330731529</v>
      </c>
      <c r="U39" s="184">
        <f>(G30-U30)/$U$4+'Wheat Dual ~800Lb'!$F$5</f>
        <v>1.5344089308404429</v>
      </c>
      <c r="W39" s="66">
        <f t="shared" si="14"/>
        <v>44</v>
      </c>
      <c r="X39" s="181">
        <f>(C30-$Z$29)/$AB$4+'Wheat Graze Out'!$N$5</f>
        <v>1.4181599086029304</v>
      </c>
      <c r="Y39" s="182">
        <f>(D30-$Z$29)/$AB$4+'Wheat Graze Out'!$N$5</f>
        <v>1.509121753953286</v>
      </c>
      <c r="Z39" s="187">
        <f>(E30-$Z$29)/$AB$4+'Wheat Graze Out'!$N$5</f>
        <v>1.6000835993036411</v>
      </c>
      <c r="AA39" s="182">
        <f>(F30-$Z$29)/$AB$4+'Wheat Graze Out'!$N$5</f>
        <v>1.6910454446539966</v>
      </c>
      <c r="AB39" s="184">
        <f>(G30-$Z$29)/$AB$4+'Wheat Graze Out'!$N$5</f>
        <v>1.7820072900043527</v>
      </c>
    </row>
    <row r="40" spans="2:28" ht="15.75" hidden="1" thickBot="1" x14ac:dyDescent="0.3">
      <c r="C40" s="91"/>
      <c r="D40" s="91"/>
      <c r="E40" s="91"/>
      <c r="F40" s="91"/>
      <c r="G40" s="239">
        <f>+G38*1.2</f>
        <v>48</v>
      </c>
      <c r="I40" s="70">
        <f t="shared" si="12"/>
        <v>43</v>
      </c>
      <c r="J40" s="188">
        <f>(C31-J31)/$N$4+'Wheat Dual  ~700Lb'!$F$4</f>
        <v>0.81933600000000018</v>
      </c>
      <c r="K40" s="189">
        <f>(D31-K31)/$N$4+'Wheat Dual  ~700Lb'!$F$4</f>
        <v>0.84812387878787965</v>
      </c>
      <c r="L40" s="189">
        <f>(E31-L31)/$N$4+'Wheat Dual  ~700Lb'!$F$4</f>
        <v>0.8769117575757579</v>
      </c>
      <c r="M40" s="189">
        <f>(F31-M31)/$N$4+'Wheat Dual  ~700Lb'!$F$4</f>
        <v>0.90569963636363626</v>
      </c>
      <c r="N40" s="190">
        <f>(G31-N31)/$N$4+'Wheat Dual  ~700Lb'!$F$4</f>
        <v>0.93448751515151574</v>
      </c>
      <c r="P40" s="70">
        <f t="shared" si="13"/>
        <v>43</v>
      </c>
      <c r="Q40" s="188">
        <f>(C31-Q31)/$U$4+'Wheat Dual ~800Lb'!$F$5</f>
        <v>1.3567904882918862</v>
      </c>
      <c r="R40" s="189">
        <f>(D31-R31)/$U$4+'Wheat Dual ~800Lb'!$F$5</f>
        <v>1.4296485387547651</v>
      </c>
      <c r="S40" s="189">
        <f>(E31-S31)/$U$4+'Wheat Dual ~800Lb'!$F$5</f>
        <v>1.5025065892176439</v>
      </c>
      <c r="T40" s="189">
        <f>(F31-T31)/$U$4+'Wheat Dual ~800Lb'!$F$5</f>
        <v>1.5753646396805225</v>
      </c>
      <c r="U40" s="190">
        <f>(G31-U31)/$U$4+'Wheat Dual ~800Lb'!$F$5</f>
        <v>1.6482226901434018</v>
      </c>
      <c r="W40" s="70">
        <f t="shared" si="14"/>
        <v>48</v>
      </c>
      <c r="X40" s="188">
        <f>(C31-$Z$29)/$AB$4+'Wheat Graze Out'!$N$5</f>
        <v>1.5670065646307849</v>
      </c>
      <c r="Y40" s="189">
        <f>(D31-$Z$29)/$AB$4+'Wheat Graze Out'!$N$5</f>
        <v>1.6662376686493543</v>
      </c>
      <c r="Z40" s="189">
        <f>(E31-$Z$29)/$AB$4+'Wheat Graze Out'!$N$5</f>
        <v>1.7654687726679241</v>
      </c>
      <c r="AA40" s="189">
        <f>(F31-$Z$29)/$AB$4+'Wheat Graze Out'!$N$5</f>
        <v>1.8646998766864935</v>
      </c>
      <c r="AB40" s="190">
        <f>(G31-$Z$29)/$AB$4+'Wheat Graze Out'!$N$5</f>
        <v>1.9639309807050633</v>
      </c>
    </row>
    <row r="41" spans="2:28" ht="16.5" thickTop="1" thickBot="1" x14ac:dyDescent="0.3">
      <c r="B41" s="92"/>
      <c r="C41" s="91"/>
      <c r="D41" s="91"/>
      <c r="E41" s="91"/>
      <c r="F41" s="91"/>
      <c r="G41" s="91"/>
      <c r="I41" s="92"/>
      <c r="J41" s="91"/>
      <c r="K41" s="91"/>
      <c r="L41" s="91"/>
      <c r="M41" s="91"/>
      <c r="N41" s="91"/>
      <c r="P41" s="92"/>
      <c r="Q41" s="91"/>
      <c r="R41" s="91"/>
      <c r="S41" s="91"/>
      <c r="T41" s="91"/>
      <c r="U41" s="91"/>
      <c r="W41" s="92"/>
      <c r="X41" s="91"/>
      <c r="Y41" s="91"/>
      <c r="Z41" s="91"/>
      <c r="AA41" s="91"/>
      <c r="AB41" s="91"/>
    </row>
    <row r="42" spans="2:28" ht="16.5" thickTop="1" thickBot="1" x14ac:dyDescent="0.3">
      <c r="B42" s="352" t="s">
        <v>167</v>
      </c>
      <c r="C42" s="353"/>
      <c r="D42" s="353"/>
      <c r="E42" s="353"/>
      <c r="F42" s="353"/>
      <c r="G42" s="354"/>
      <c r="I42" s="352" t="s">
        <v>161</v>
      </c>
      <c r="J42" s="353"/>
      <c r="K42" s="353"/>
      <c r="L42" s="353"/>
      <c r="M42" s="353"/>
      <c r="N42" s="354"/>
      <c r="P42" s="352" t="s">
        <v>164</v>
      </c>
      <c r="Q42" s="353"/>
      <c r="R42" s="353"/>
      <c r="S42" s="353"/>
      <c r="T42" s="353"/>
      <c r="U42" s="354"/>
      <c r="W42" s="352" t="s">
        <v>166</v>
      </c>
      <c r="X42" s="353"/>
      <c r="Y42" s="353"/>
      <c r="Z42" s="353"/>
      <c r="AA42" s="353"/>
      <c r="AB42" s="354"/>
    </row>
    <row r="43" spans="2:28" ht="15.75" thickTop="1" x14ac:dyDescent="0.25">
      <c r="B43" s="60" t="s">
        <v>156</v>
      </c>
      <c r="C43" s="361" t="s">
        <v>114</v>
      </c>
      <c r="D43" s="362"/>
      <c r="E43" s="362" t="s">
        <v>60</v>
      </c>
      <c r="F43" s="362"/>
      <c r="G43" s="363"/>
      <c r="I43" s="60" t="s">
        <v>156</v>
      </c>
      <c r="J43" s="361" t="s">
        <v>160</v>
      </c>
      <c r="K43" s="362"/>
      <c r="L43" s="362"/>
      <c r="M43" s="362"/>
      <c r="N43" s="363"/>
      <c r="P43" s="60" t="s">
        <v>156</v>
      </c>
      <c r="Q43" s="361" t="s">
        <v>160</v>
      </c>
      <c r="R43" s="362"/>
      <c r="S43" s="362"/>
      <c r="T43" s="362"/>
      <c r="U43" s="363"/>
      <c r="W43" s="60" t="s">
        <v>109</v>
      </c>
      <c r="X43" s="361" t="s">
        <v>160</v>
      </c>
      <c r="Y43" s="362"/>
      <c r="Z43" s="362"/>
      <c r="AA43" s="362"/>
      <c r="AB43" s="363"/>
    </row>
    <row r="44" spans="2:28" ht="15.75" thickBot="1" x14ac:dyDescent="0.3">
      <c r="B44" s="61" t="s">
        <v>58</v>
      </c>
      <c r="C44" s="74">
        <f>+E44*0.9</f>
        <v>8.5500000000000007</v>
      </c>
      <c r="D44" s="75">
        <f>+E44*0.95</f>
        <v>9.0250000000000004</v>
      </c>
      <c r="E44" s="80">
        <f>E26</f>
        <v>9.5</v>
      </c>
      <c r="F44" s="75">
        <f>+E44*1.05</f>
        <v>9.9749999999999996</v>
      </c>
      <c r="G44" s="76">
        <f>+E44*1.1</f>
        <v>10.450000000000001</v>
      </c>
      <c r="I44" s="61" t="s">
        <v>58</v>
      </c>
      <c r="J44" s="199">
        <v>0.5</v>
      </c>
      <c r="K44" s="215">
        <v>0.55000000000000004</v>
      </c>
      <c r="L44" s="90">
        <v>0.65</v>
      </c>
      <c r="M44" s="200">
        <f>L44+0.15</f>
        <v>0.8</v>
      </c>
      <c r="N44" s="201">
        <f>M44+0.15</f>
        <v>0.95000000000000007</v>
      </c>
      <c r="P44" s="61" t="s">
        <v>58</v>
      </c>
      <c r="Q44" s="199">
        <v>0.5</v>
      </c>
      <c r="R44" s="215">
        <v>0.55000000000000004</v>
      </c>
      <c r="S44" s="90">
        <v>0.65</v>
      </c>
      <c r="T44" s="200">
        <f>S44+0.15</f>
        <v>0.8</v>
      </c>
      <c r="U44" s="201">
        <f>T44+0.15</f>
        <v>0.95000000000000007</v>
      </c>
      <c r="W44" s="61" t="s">
        <v>8</v>
      </c>
      <c r="X44" s="199">
        <v>0.5</v>
      </c>
      <c r="Y44" s="215">
        <v>0.55000000000000004</v>
      </c>
      <c r="Z44" s="90">
        <v>0.65</v>
      </c>
      <c r="AA44" s="200">
        <f>Z44+0.15</f>
        <v>0.8</v>
      </c>
      <c r="AB44" s="201">
        <v>0.84</v>
      </c>
    </row>
    <row r="45" spans="2:28" ht="15.75" thickTop="1" x14ac:dyDescent="0.25">
      <c r="B45" s="62">
        <f>B27</f>
        <v>30.599999999999998</v>
      </c>
      <c r="C45" s="198">
        <f>(C27)/($G$11+$G$17)</f>
        <v>-0.18690137732648238</v>
      </c>
      <c r="D45" s="202">
        <f t="shared" ref="D45:G45" si="15">(D27)/($G$11+$G$17)</f>
        <v>-0.13116214947872709</v>
      </c>
      <c r="E45" s="202">
        <f t="shared" si="15"/>
        <v>-7.5422921630971584E-2</v>
      </c>
      <c r="F45" s="202">
        <f t="shared" si="15"/>
        <v>-1.9683693783216306E-2</v>
      </c>
      <c r="G45" s="203">
        <f t="shared" si="15"/>
        <v>3.6055534064539409E-2</v>
      </c>
      <c r="I45" s="62">
        <f>I36</f>
        <v>25.599999999999998</v>
      </c>
      <c r="J45" s="198">
        <f t="shared" ref="J45:K45" si="16">($L$27-$N$8+$N$4*J44)/($N$11+$N$17)</f>
        <v>-0.17773378002853829</v>
      </c>
      <c r="K45" s="202">
        <f t="shared" si="16"/>
        <v>-0.16329116492365311</v>
      </c>
      <c r="L45" s="202">
        <f>($L$27-$N$8+$N$4*L44)/($N$11+$N$17)</f>
        <v>-0.13440593471388282</v>
      </c>
      <c r="M45" s="202">
        <f t="shared" ref="M45:N45" si="17">($L$27-$N$8+$N$4*M44)/($N$11+$N$17)</f>
        <v>-9.1078089399227333E-2</v>
      </c>
      <c r="N45" s="203">
        <f t="shared" si="17"/>
        <v>-4.7750244084571847E-2</v>
      </c>
      <c r="P45" s="62">
        <f>P36</f>
        <v>25.599999999999998</v>
      </c>
      <c r="Q45" s="198">
        <f t="shared" ref="Q45:S46" si="18">($S27-$U$8+$U$4*Q$44)/($U$11+$U$17)</f>
        <v>-0.33524581567242207</v>
      </c>
      <c r="R45" s="202">
        <f t="shared" si="18"/>
        <v>-0.31113540154732744</v>
      </c>
      <c r="S45" s="202">
        <f t="shared" si="18"/>
        <v>-0.26291457329713808</v>
      </c>
      <c r="T45" s="202">
        <f t="shared" ref="T45:U45" si="19">($S27-$U$8+$U$4*T$44)/($U$11+$U$17)</f>
        <v>-0.19058333092185414</v>
      </c>
      <c r="U45" s="203">
        <f t="shared" si="19"/>
        <v>-0.11825208854657016</v>
      </c>
      <c r="W45" s="62">
        <f>W47*0.9</f>
        <v>206.79000000000002</v>
      </c>
      <c r="X45" s="198">
        <f>(X$44*$W45-$AB$13-$AB$17)/($AB$11+$AB$17)</f>
        <v>-0.60234795275249864</v>
      </c>
      <c r="Y45" s="202">
        <f t="shared" ref="Y45:AB45" si="20">(Y$44*$W45-$AB$13-$AB$17)/($AB$11+$AB$17)</f>
        <v>-0.56258274802774844</v>
      </c>
      <c r="Z45" s="202">
        <f t="shared" si="20"/>
        <v>-0.4830523385782482</v>
      </c>
      <c r="AA45" s="202">
        <f t="shared" si="20"/>
        <v>-0.36375672440399781</v>
      </c>
      <c r="AB45" s="203">
        <f t="shared" si="20"/>
        <v>-0.33194456062419769</v>
      </c>
    </row>
    <row r="46" spans="2:28" ht="15.75" thickBot="1" x14ac:dyDescent="0.3">
      <c r="B46" s="66">
        <f t="shared" ref="B46:B49" si="21">B28</f>
        <v>36</v>
      </c>
      <c r="C46" s="204">
        <f t="shared" ref="C46:G49" si="22">(C28)/($G$11+$G$17)</f>
        <v>-9.8473594571416145E-3</v>
      </c>
      <c r="D46" s="205">
        <f t="shared" si="22"/>
        <v>5.5728202716688359E-2</v>
      </c>
      <c r="E46" s="206">
        <f t="shared" si="22"/>
        <v>0.12130376489051811</v>
      </c>
      <c r="F46" s="205">
        <f t="shared" si="22"/>
        <v>0.18687932706434787</v>
      </c>
      <c r="G46" s="207">
        <f t="shared" si="22"/>
        <v>0.25245488923817805</v>
      </c>
      <c r="I46" s="66">
        <f t="shared" ref="I46:I49" si="23">I37</f>
        <v>31</v>
      </c>
      <c r="J46" s="204">
        <f t="shared" ref="J46:K46" si="24">($L$28-$N$8+$N$4*J44)/($N$11+$N$17)</f>
        <v>1.8798332758517408E-3</v>
      </c>
      <c r="K46" s="205">
        <f t="shared" si="24"/>
        <v>1.6322448380736924E-2</v>
      </c>
      <c r="L46" s="206">
        <f>($L$28-$N$8+$N$4*L44)/($N$11+$N$17)</f>
        <v>4.5207678590507221E-2</v>
      </c>
      <c r="M46" s="205">
        <f t="shared" ref="M46:N46" si="25">($L$28-$N$8+$N$4*M44)/($N$11+$N$17)</f>
        <v>8.85355239051627E-2</v>
      </c>
      <c r="N46" s="207">
        <f t="shared" si="25"/>
        <v>0.13186336921981817</v>
      </c>
      <c r="P46" s="66">
        <f t="shared" ref="P46:P49" si="26">P37</f>
        <v>31</v>
      </c>
      <c r="Q46" s="204">
        <f t="shared" si="18"/>
        <v>-0.22298730735717834</v>
      </c>
      <c r="R46" s="205">
        <f t="shared" si="18"/>
        <v>-0.19887689323208368</v>
      </c>
      <c r="S46" s="206">
        <f t="shared" si="18"/>
        <v>-0.15065606498189435</v>
      </c>
      <c r="T46" s="205">
        <f t="shared" ref="T46:U46" si="27">($S28-$U$8+$U$4*T$44)/($U$11+$U$17)</f>
        <v>-7.8324822606610417E-2</v>
      </c>
      <c r="U46" s="207">
        <f t="shared" si="27"/>
        <v>-5.9935802313264182E-3</v>
      </c>
      <c r="W46" s="66">
        <f>W47*0.95</f>
        <v>218.27833333333334</v>
      </c>
      <c r="X46" s="204">
        <f t="shared" ref="X46:AB49" si="28">(X$44*$W46-$AB$13-$AB$17)/($AB$11+$AB$17)</f>
        <v>-0.58025617234985971</v>
      </c>
      <c r="Y46" s="205">
        <f t="shared" si="28"/>
        <v>-0.53828178958484563</v>
      </c>
      <c r="Z46" s="206">
        <f t="shared" si="28"/>
        <v>-0.45433302405481757</v>
      </c>
      <c r="AA46" s="205">
        <f t="shared" si="28"/>
        <v>-0.32840987575977548</v>
      </c>
      <c r="AB46" s="207">
        <f t="shared" si="28"/>
        <v>-0.29483036954776426</v>
      </c>
    </row>
    <row r="47" spans="2:28" ht="15.75" thickBot="1" x14ac:dyDescent="0.3">
      <c r="B47" s="81">
        <f t="shared" si="21"/>
        <v>40</v>
      </c>
      <c r="C47" s="204">
        <f t="shared" si="22"/>
        <v>0.12130376489051811</v>
      </c>
      <c r="D47" s="208">
        <f t="shared" si="22"/>
        <v>0.19416550063921797</v>
      </c>
      <c r="E47" s="209">
        <f t="shared" si="22"/>
        <v>0.26702723638791787</v>
      </c>
      <c r="F47" s="210">
        <f t="shared" si="22"/>
        <v>0.33988897213661773</v>
      </c>
      <c r="G47" s="207">
        <f t="shared" si="22"/>
        <v>0.41275070788531781</v>
      </c>
      <c r="I47" s="217">
        <f t="shared" si="23"/>
        <v>35</v>
      </c>
      <c r="J47" s="204">
        <f t="shared" ref="J47:K47" si="29">($L$29-$N$8+$N$4*J44)/($N$11+$N$17)</f>
        <v>0.13492695424206655</v>
      </c>
      <c r="K47" s="208">
        <f t="shared" si="29"/>
        <v>0.14936956934695172</v>
      </c>
      <c r="L47" s="209">
        <f>($L$29-$N$8+$N$4*L44)/($N$11+$N$17)</f>
        <v>0.17825479955672202</v>
      </c>
      <c r="M47" s="210">
        <f t="shared" ref="M47:N47" si="30">($L$29-$N$8+$N$4*M44)/($N$11+$N$17)</f>
        <v>0.22158264487137752</v>
      </c>
      <c r="N47" s="207">
        <f t="shared" si="30"/>
        <v>0.26491049018603297</v>
      </c>
      <c r="P47" s="217">
        <f t="shared" si="26"/>
        <v>35</v>
      </c>
      <c r="Q47" s="204">
        <f t="shared" ref="Q47:R47" si="31">($S29-$U$8+$U$4*Q$44)/($U$11+$U$17)</f>
        <v>-0.13983285675329415</v>
      </c>
      <c r="R47" s="208">
        <f t="shared" si="31"/>
        <v>-0.11572244262819947</v>
      </c>
      <c r="S47" s="209">
        <f>($S29-$U$8+$U$4*S$44)/($U$11+$U$17)</f>
        <v>-6.7501614378010152E-2</v>
      </c>
      <c r="T47" s="210">
        <f t="shared" ref="T47:U47" si="32">($S29-$U$8+$U$4*T$44)/($U$11+$U$17)</f>
        <v>4.8296279972737935E-3</v>
      </c>
      <c r="U47" s="207">
        <f t="shared" si="32"/>
        <v>7.7160870372557783E-2</v>
      </c>
      <c r="W47" s="217">
        <f>AB4</f>
        <v>229.76666666666668</v>
      </c>
      <c r="X47" s="204">
        <f t="shared" si="28"/>
        <v>-0.55816439194722067</v>
      </c>
      <c r="Y47" s="208">
        <f t="shared" si="28"/>
        <v>-0.51398083114194271</v>
      </c>
      <c r="Z47" s="209">
        <f t="shared" si="28"/>
        <v>-0.42561370953138689</v>
      </c>
      <c r="AA47" s="210">
        <f t="shared" si="28"/>
        <v>-0.2930630271155531</v>
      </c>
      <c r="AB47" s="207">
        <f t="shared" si="28"/>
        <v>-0.25771617847133088</v>
      </c>
    </row>
    <row r="48" spans="2:28" x14ac:dyDescent="0.25">
      <c r="B48" s="66">
        <f t="shared" si="21"/>
        <v>44</v>
      </c>
      <c r="C48" s="204">
        <f t="shared" si="22"/>
        <v>0.25245488923817805</v>
      </c>
      <c r="D48" s="205">
        <f t="shared" si="22"/>
        <v>0.33260279856174785</v>
      </c>
      <c r="E48" s="211">
        <f t="shared" si="22"/>
        <v>0.41275070788531759</v>
      </c>
      <c r="F48" s="205">
        <f t="shared" si="22"/>
        <v>0.49289861720888745</v>
      </c>
      <c r="G48" s="207">
        <f t="shared" si="22"/>
        <v>0.57304652653245769</v>
      </c>
      <c r="I48" s="66">
        <f t="shared" si="23"/>
        <v>39</v>
      </c>
      <c r="J48" s="204">
        <f t="shared" ref="J48:K48" si="33">($L$30-$N$8+$N$4*J44)/($N$11+$N$17)</f>
        <v>0.26797407520828137</v>
      </c>
      <c r="K48" s="205">
        <f t="shared" si="33"/>
        <v>0.28241669031316657</v>
      </c>
      <c r="L48" s="211">
        <f>($L$30-$N$8+$N$4*L44)/($N$11+$N$17)</f>
        <v>0.31130192052293681</v>
      </c>
      <c r="M48" s="205">
        <f t="shared" ref="M48:N48" si="34">($L$30-$N$8+$N$4*M44)/($N$11+$N$17)</f>
        <v>0.35462976583759231</v>
      </c>
      <c r="N48" s="207">
        <f t="shared" si="34"/>
        <v>0.39795761115224781</v>
      </c>
      <c r="P48" s="66">
        <f t="shared" si="26"/>
        <v>39</v>
      </c>
      <c r="Q48" s="204">
        <f t="shared" ref="Q48:S49" si="35">($S30-$U$8+$U$4*Q$44)/($U$11+$U$17)</f>
        <v>-5.6678406149409888E-2</v>
      </c>
      <c r="R48" s="205">
        <f t="shared" si="35"/>
        <v>-3.256799202431522E-2</v>
      </c>
      <c r="S48" s="211">
        <f t="shared" si="35"/>
        <v>1.5652836225874104E-2</v>
      </c>
      <c r="T48" s="205">
        <f t="shared" ref="T48:U48" si="36">($S30-$U$8+$U$4*T$44)/($U$11+$U$17)</f>
        <v>8.7984078601158047E-2</v>
      </c>
      <c r="U48" s="207">
        <f t="shared" si="36"/>
        <v>0.16031532097644205</v>
      </c>
      <c r="W48" s="66">
        <f>W47*1.05</f>
        <v>241.25500000000002</v>
      </c>
      <c r="X48" s="204">
        <f t="shared" si="28"/>
        <v>-0.53607261154458175</v>
      </c>
      <c r="Y48" s="205">
        <f t="shared" si="28"/>
        <v>-0.4896798726990399</v>
      </c>
      <c r="Z48" s="211">
        <f t="shared" si="28"/>
        <v>-0.39689439500795631</v>
      </c>
      <c r="AA48" s="205">
        <f t="shared" si="28"/>
        <v>-0.25771617847133077</v>
      </c>
      <c r="AB48" s="207">
        <f t="shared" si="28"/>
        <v>-0.22060198739489736</v>
      </c>
    </row>
    <row r="49" spans="2:28" ht="15.75" thickBot="1" x14ac:dyDescent="0.3">
      <c r="B49" s="70">
        <f t="shared" si="21"/>
        <v>48</v>
      </c>
      <c r="C49" s="212">
        <f t="shared" si="22"/>
        <v>0.38360601358583779</v>
      </c>
      <c r="D49" s="213">
        <f t="shared" si="22"/>
        <v>0.47104009648427769</v>
      </c>
      <c r="E49" s="213">
        <f t="shared" si="22"/>
        <v>0.55847417938271737</v>
      </c>
      <c r="F49" s="213">
        <f t="shared" si="22"/>
        <v>0.64590826228115705</v>
      </c>
      <c r="G49" s="214">
        <f t="shared" si="22"/>
        <v>0.73334234517959718</v>
      </c>
      <c r="I49" s="70">
        <f t="shared" si="23"/>
        <v>43</v>
      </c>
      <c r="J49" s="212">
        <f t="shared" ref="J49:K49" si="37">($L$31-$N$8+$N$4*J44)/($N$11+$N$17)</f>
        <v>0.40102119617449616</v>
      </c>
      <c r="K49" s="213">
        <f t="shared" si="37"/>
        <v>0.41546381127938137</v>
      </c>
      <c r="L49" s="213">
        <f>($L$31-$N$8+$N$4*L44)/($N$11+$N$17)</f>
        <v>0.44434904148915166</v>
      </c>
      <c r="M49" s="213">
        <f t="shared" ref="M49:N49" si="38">($L$31-$N$8+$N$4*M44)/($N$11+$N$17)</f>
        <v>0.48767688680380705</v>
      </c>
      <c r="N49" s="214">
        <f t="shared" si="38"/>
        <v>0.53100473211846255</v>
      </c>
      <c r="P49" s="70">
        <f t="shared" si="26"/>
        <v>43</v>
      </c>
      <c r="Q49" s="212">
        <f t="shared" si="35"/>
        <v>2.6476044454474365E-2</v>
      </c>
      <c r="R49" s="213">
        <f t="shared" si="35"/>
        <v>5.0586458579569032E-2</v>
      </c>
      <c r="S49" s="213">
        <f t="shared" si="35"/>
        <v>9.8807286829758353E-2</v>
      </c>
      <c r="T49" s="213">
        <f t="shared" ref="T49:U49" si="39">($S31-$U$8+$U$4*T$44)/($U$11+$U$17)</f>
        <v>0.1711385292050423</v>
      </c>
      <c r="U49" s="214">
        <f t="shared" si="39"/>
        <v>0.24346977158032629</v>
      </c>
      <c r="W49" s="70">
        <f>W48*1.1</f>
        <v>265.38050000000004</v>
      </c>
      <c r="X49" s="212">
        <f t="shared" si="28"/>
        <v>-0.4896798726990399</v>
      </c>
      <c r="Y49" s="213">
        <f t="shared" si="28"/>
        <v>-0.43864785996894379</v>
      </c>
      <c r="Z49" s="213">
        <f t="shared" si="28"/>
        <v>-0.33658383450875179</v>
      </c>
      <c r="AA49" s="213">
        <f t="shared" si="28"/>
        <v>-0.18348779631846374</v>
      </c>
      <c r="AB49" s="214">
        <f t="shared" si="28"/>
        <v>-0.14266218613438694</v>
      </c>
    </row>
    <row r="50" spans="2:28" ht="15.75" thickTop="1" x14ac:dyDescent="0.25">
      <c r="B50" s="92"/>
      <c r="C50" s="91"/>
      <c r="D50" s="91"/>
      <c r="E50" s="91"/>
      <c r="F50" s="91"/>
      <c r="G50" s="91"/>
      <c r="I50" s="92"/>
      <c r="J50" s="91"/>
      <c r="K50" s="91"/>
      <c r="L50" s="91"/>
      <c r="M50" s="91"/>
      <c r="N50" s="91"/>
      <c r="P50" s="92"/>
      <c r="Q50" s="91"/>
      <c r="R50" s="91"/>
      <c r="S50" s="91"/>
      <c r="T50" s="91"/>
      <c r="U50" s="91"/>
      <c r="W50" s="92"/>
      <c r="X50" s="91"/>
      <c r="Y50" s="91"/>
      <c r="Z50" s="91"/>
      <c r="AA50" s="91"/>
      <c r="AB50" s="91"/>
    </row>
  </sheetData>
  <sheetProtection sheet="1" objects="1" scenarios="1"/>
  <mergeCells count="24">
    <mergeCell ref="B2:G2"/>
    <mergeCell ref="I2:N2"/>
    <mergeCell ref="P2:U2"/>
    <mergeCell ref="W2:AB2"/>
    <mergeCell ref="B24:G24"/>
    <mergeCell ref="I24:N24"/>
    <mergeCell ref="P24:U24"/>
    <mergeCell ref="W24:AB24"/>
    <mergeCell ref="Q43:U43"/>
    <mergeCell ref="W42:AB42"/>
    <mergeCell ref="X43:AB43"/>
    <mergeCell ref="C25:G25"/>
    <mergeCell ref="W33:AB33"/>
    <mergeCell ref="Q34:U34"/>
    <mergeCell ref="X34:AB34"/>
    <mergeCell ref="P42:U42"/>
    <mergeCell ref="X25:AB25"/>
    <mergeCell ref="J34:N34"/>
    <mergeCell ref="I42:N42"/>
    <mergeCell ref="J43:N43"/>
    <mergeCell ref="I33:N33"/>
    <mergeCell ref="P33:U33"/>
    <mergeCell ref="B42:G42"/>
    <mergeCell ref="C43:G43"/>
  </mergeCells>
  <conditionalFormatting sqref="J36:N40">
    <cfRule type="colorScale" priority="129">
      <colorScale>
        <cfvo type="min"/>
        <cfvo type="max"/>
        <color theme="0" tint="-4.9989318521683403E-2"/>
        <color theme="0" tint="-0.34998626667073579"/>
      </colorScale>
    </cfRule>
    <cfRule type="colorScale" priority="130">
      <colorScale>
        <cfvo type="min"/>
        <cfvo type="max"/>
        <color rgb="FFFCFCFF"/>
        <color rgb="FF63BE7B"/>
      </colorScale>
    </cfRule>
  </conditionalFormatting>
  <conditionalFormatting sqref="J36:N40">
    <cfRule type="colorScale" priority="1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36:U40">
    <cfRule type="colorScale" priority="93">
      <colorScale>
        <cfvo type="min"/>
        <cfvo type="max"/>
        <color theme="0" tint="-4.9989318521683403E-2"/>
        <color theme="0" tint="-0.34998626667073579"/>
      </colorScale>
    </cfRule>
    <cfRule type="colorScale" priority="94">
      <colorScale>
        <cfvo type="min"/>
        <cfvo type="max"/>
        <color rgb="FFFCFCFF"/>
        <color rgb="FF63BE7B"/>
      </colorScale>
    </cfRule>
  </conditionalFormatting>
  <conditionalFormatting sqref="Q36:U40">
    <cfRule type="colorScale" priority="9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3:G33 C35:F40 C34">
    <cfRule type="colorScale" priority="87">
      <colorScale>
        <cfvo type="min"/>
        <cfvo type="max"/>
        <color theme="0" tint="-4.9989318521683403E-2"/>
        <color theme="0" tint="-0.34998626667073579"/>
      </colorScale>
    </cfRule>
    <cfRule type="colorScale" priority="88">
      <colorScale>
        <cfvo type="min"/>
        <cfvo type="max"/>
        <color rgb="FFFCFCFF"/>
        <color rgb="FF63BE7B"/>
      </colorScale>
    </cfRule>
  </conditionalFormatting>
  <conditionalFormatting sqref="C33:G33 C35:F40 C34">
    <cfRule type="colorScale" priority="8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36:AB40">
    <cfRule type="colorScale" priority="26">
      <colorScale>
        <cfvo type="min"/>
        <cfvo type="max"/>
        <color theme="0" tint="-4.9989318521683403E-2"/>
        <color theme="0" tint="-0.34998626667073579"/>
      </colorScale>
    </cfRule>
    <cfRule type="colorScale" priority="27">
      <colorScale>
        <cfvo type="min"/>
        <cfvo type="max"/>
        <color rgb="FFFCFCFF"/>
        <color rgb="FF63BE7B"/>
      </colorScale>
    </cfRule>
  </conditionalFormatting>
  <conditionalFormatting sqref="X36:AB40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45:N49">
    <cfRule type="colorScale" priority="20">
      <colorScale>
        <cfvo type="min"/>
        <cfvo type="max"/>
        <color theme="0" tint="-4.9989318521683403E-2"/>
        <color theme="0" tint="-0.34998626667073579"/>
      </colorScale>
    </cfRule>
    <cfRule type="colorScale" priority="21">
      <colorScale>
        <cfvo type="min"/>
        <cfvo type="max"/>
        <color rgb="FFFCFCFF"/>
        <color rgb="FF63BE7B"/>
      </colorScale>
    </cfRule>
  </conditionalFormatting>
  <conditionalFormatting sqref="J45:N49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45:U49">
    <cfRule type="colorScale" priority="14">
      <colorScale>
        <cfvo type="min"/>
        <cfvo type="max"/>
        <color theme="0" tint="-4.9989318521683403E-2"/>
        <color theme="0" tint="-0.34998626667073579"/>
      </colorScale>
    </cfRule>
    <cfRule type="colorScale" priority="15">
      <colorScale>
        <cfvo type="min"/>
        <cfvo type="max"/>
        <color rgb="FFFCFCFF"/>
        <color rgb="FF63BE7B"/>
      </colorScale>
    </cfRule>
  </conditionalFormatting>
  <conditionalFormatting sqref="Q45:U49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45:AB49">
    <cfRule type="colorScale" priority="8">
      <colorScale>
        <cfvo type="min"/>
        <cfvo type="max"/>
        <color theme="0" tint="-4.9989318521683403E-2"/>
        <color theme="0" tint="-0.34998626667073579"/>
      </colorScale>
    </cfRule>
    <cfRule type="colorScale" priority="9">
      <colorScale>
        <cfvo type="min"/>
        <cfvo type="max"/>
        <color rgb="FFFCFCFF"/>
        <color rgb="FF63BE7B"/>
      </colorScale>
    </cfRule>
  </conditionalFormatting>
  <conditionalFormatting sqref="X45:AB49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5:G49">
    <cfRule type="colorScale" priority="2">
      <colorScale>
        <cfvo type="min"/>
        <cfvo type="max"/>
        <color theme="0" tint="-4.9989318521683403E-2"/>
        <color theme="0" tint="-0.34998626667073579"/>
      </colorScale>
    </cfRule>
    <cfRule type="colorScale" priority="3">
      <colorScale>
        <cfvo type="min"/>
        <cfvo type="max"/>
        <color rgb="FFFCFCFF"/>
        <color rgb="FF63BE7B"/>
      </colorScale>
    </cfRule>
  </conditionalFormatting>
  <conditionalFormatting sqref="C45:G4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7:G32 C41:G41 C50:G50">
    <cfRule type="colorScale" priority="310">
      <colorScale>
        <cfvo type="min"/>
        <cfvo type="max"/>
        <color theme="0" tint="-4.9989318521683403E-2"/>
        <color theme="0" tint="-0.34998626667073579"/>
      </colorScale>
    </cfRule>
    <cfRule type="colorScale" priority="311">
      <colorScale>
        <cfvo type="min"/>
        <cfvo type="max"/>
        <color rgb="FFFCFCFF"/>
        <color rgb="FF63BE7B"/>
      </colorScale>
    </cfRule>
  </conditionalFormatting>
  <conditionalFormatting sqref="Q27:U32 Q41:U41 Q50:U50">
    <cfRule type="colorScale" priority="316">
      <colorScale>
        <cfvo type="min"/>
        <cfvo type="max"/>
        <color theme="0" tint="-4.9989318521683403E-2"/>
        <color theme="0" tint="-0.34998626667073579"/>
      </colorScale>
    </cfRule>
    <cfRule type="colorScale" priority="317">
      <colorScale>
        <cfvo type="min"/>
        <cfvo type="max"/>
        <color rgb="FFFCFCFF"/>
        <color rgb="FF63BE7B"/>
      </colorScale>
    </cfRule>
  </conditionalFormatting>
  <conditionalFormatting sqref="X27:AB32 X41:AB41 X50:AB50">
    <cfRule type="colorScale" priority="322">
      <colorScale>
        <cfvo type="min"/>
        <cfvo type="max"/>
        <color theme="0" tint="-4.9989318521683403E-2"/>
        <color theme="0" tint="-0.34998626667073579"/>
      </colorScale>
    </cfRule>
    <cfRule type="colorScale" priority="323">
      <colorScale>
        <cfvo type="min"/>
        <cfvo type="max"/>
        <color rgb="FFFCFCFF"/>
        <color rgb="FF63BE7B"/>
      </colorScale>
    </cfRule>
  </conditionalFormatting>
  <conditionalFormatting sqref="J27:N32 J41:N41 J50:N50">
    <cfRule type="colorScale" priority="328">
      <colorScale>
        <cfvo type="min"/>
        <cfvo type="max"/>
        <color theme="0" tint="-4.9989318521683403E-2"/>
        <color theme="0" tint="-0.34998626667073579"/>
      </colorScale>
    </cfRule>
    <cfRule type="colorScale" priority="329">
      <colorScale>
        <cfvo type="min"/>
        <cfvo type="max"/>
        <color rgb="FFFCFCFF"/>
        <color rgb="FF63BE7B"/>
      </colorScale>
    </cfRule>
  </conditionalFormatting>
  <conditionalFormatting sqref="C27:G32 J27:N32 Q27:U32 X27:AB32 X41:AB41 Q41:U41 J41:N41 C41:G41 J50:N50 Q50:U50 X50:AB50 C50:G50">
    <cfRule type="colorScale" priority="36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CB9E6-4814-4057-8685-91C30A78EEEC}">
  <dimension ref="B1:AC40"/>
  <sheetViews>
    <sheetView workbookViewId="0">
      <selection activeCell="Q32" sqref="Q32"/>
    </sheetView>
  </sheetViews>
  <sheetFormatPr defaultColWidth="8.85546875" defaultRowHeight="15" x14ac:dyDescent="0.25"/>
  <cols>
    <col min="1" max="7" width="6.28515625" style="1" customWidth="1"/>
    <col min="8" max="8" width="4.28515625" style="1" hidden="1" customWidth="1"/>
    <col min="9" max="14" width="8.42578125" style="1" hidden="1" customWidth="1"/>
    <col min="15" max="15" width="2.5703125" style="1" customWidth="1"/>
    <col min="16" max="21" width="8.85546875" style="1" customWidth="1"/>
    <col min="22" max="22" width="2.85546875" style="1" customWidth="1"/>
    <col min="23" max="28" width="8.42578125" style="1" customWidth="1"/>
    <col min="29" max="29" width="6.28515625" style="1" customWidth="1"/>
    <col min="30" max="16384" width="8.85546875" style="1"/>
  </cols>
  <sheetData>
    <row r="1" spans="2:29" ht="15.75" thickBot="1" x14ac:dyDescent="0.3"/>
    <row r="2" spans="2:29" x14ac:dyDescent="0.25">
      <c r="B2" s="358" t="s">
        <v>57</v>
      </c>
      <c r="C2" s="359"/>
      <c r="D2" s="359"/>
      <c r="E2" s="359"/>
      <c r="F2" s="359"/>
      <c r="G2" s="360"/>
      <c r="H2" s="3"/>
      <c r="I2" s="358" t="s">
        <v>90</v>
      </c>
      <c r="J2" s="359"/>
      <c r="K2" s="359"/>
      <c r="L2" s="359"/>
      <c r="M2" s="359"/>
      <c r="N2" s="360"/>
      <c r="O2" s="10"/>
      <c r="P2" s="358" t="s">
        <v>91</v>
      </c>
      <c r="Q2" s="359"/>
      <c r="R2" s="359"/>
      <c r="S2" s="359"/>
      <c r="T2" s="359"/>
      <c r="U2" s="360"/>
      <c r="W2" s="358" t="s">
        <v>92</v>
      </c>
      <c r="X2" s="359"/>
      <c r="Y2" s="359"/>
      <c r="Z2" s="359"/>
      <c r="AA2" s="359"/>
      <c r="AB2" s="360"/>
    </row>
    <row r="3" spans="2:29" x14ac:dyDescent="0.25">
      <c r="B3" s="12" t="s">
        <v>84</v>
      </c>
      <c r="C3" s="16"/>
      <c r="D3" s="16"/>
      <c r="E3" s="16"/>
      <c r="F3" s="16"/>
      <c r="G3" s="45">
        <f>+'Wheat Grain'!D3</f>
        <v>40</v>
      </c>
      <c r="I3" s="12" t="s">
        <v>84</v>
      </c>
      <c r="J3" s="16"/>
      <c r="K3" s="16"/>
      <c r="L3" s="16"/>
      <c r="M3" s="16"/>
      <c r="N3" s="45">
        <f>+G3</f>
        <v>40</v>
      </c>
      <c r="O3" s="2"/>
      <c r="P3" s="12" t="s">
        <v>84</v>
      </c>
      <c r="Q3" s="16"/>
      <c r="R3" s="16"/>
      <c r="S3" s="16"/>
      <c r="T3" s="16"/>
      <c r="U3" s="45">
        <f>N3</f>
        <v>40</v>
      </c>
      <c r="W3" s="83" t="s">
        <v>84</v>
      </c>
      <c r="X3" s="84"/>
      <c r="Y3" s="84"/>
      <c r="Z3" s="84"/>
      <c r="AA3" s="84"/>
      <c r="AB3" s="45">
        <f>+Assumptions!F11</f>
        <v>0</v>
      </c>
    </row>
    <row r="4" spans="2:29" x14ac:dyDescent="0.25">
      <c r="B4" s="12" t="s">
        <v>85</v>
      </c>
      <c r="C4" s="16"/>
      <c r="D4" s="16"/>
      <c r="E4" s="16"/>
      <c r="F4" s="16"/>
      <c r="G4" s="45">
        <v>0</v>
      </c>
      <c r="I4" s="12" t="s">
        <v>85</v>
      </c>
      <c r="J4" s="16"/>
      <c r="K4" s="16"/>
      <c r="L4" s="16"/>
      <c r="M4" s="16"/>
      <c r="N4" s="45">
        <f>+'Wheat Dual  ~700Lb'!M4</f>
        <v>82.5</v>
      </c>
      <c r="O4" s="2"/>
      <c r="P4" s="12" t="s">
        <v>85</v>
      </c>
      <c r="Q4" s="16"/>
      <c r="R4" s="16"/>
      <c r="S4" s="16"/>
      <c r="T4" s="16"/>
      <c r="U4" s="45">
        <f>+'Wheat Dual ~800Lb'!D4+'Wheat Dual ~800Lb'!D5</f>
        <v>137.72500000000002</v>
      </c>
      <c r="W4" s="83" t="s">
        <v>85</v>
      </c>
      <c r="X4" s="84"/>
      <c r="Y4" s="84"/>
      <c r="Z4" s="84"/>
      <c r="AA4" s="84"/>
      <c r="AB4" s="45">
        <f>+'Wheat Graze Out'!M4+'Wheat Graze Out'!M5</f>
        <v>229.76666666666668</v>
      </c>
    </row>
    <row r="5" spans="2:29" x14ac:dyDescent="0.25">
      <c r="B5" s="12" t="s">
        <v>60</v>
      </c>
      <c r="C5" s="16"/>
      <c r="D5" s="16"/>
      <c r="E5" s="16"/>
      <c r="F5" s="16"/>
      <c r="G5" s="49">
        <f>+Assumptions!F14</f>
        <v>9.5</v>
      </c>
      <c r="I5" s="12" t="s">
        <v>60</v>
      </c>
      <c r="J5" s="16"/>
      <c r="K5" s="16"/>
      <c r="L5" s="16"/>
      <c r="M5" s="16"/>
      <c r="N5" s="49">
        <f>+G5</f>
        <v>9.5</v>
      </c>
      <c r="P5" s="12" t="s">
        <v>60</v>
      </c>
      <c r="Q5" s="16"/>
      <c r="R5" s="16"/>
      <c r="S5" s="16"/>
      <c r="T5" s="16"/>
      <c r="U5" s="101">
        <f>+N5</f>
        <v>9.5</v>
      </c>
      <c r="W5" s="83" t="s">
        <v>60</v>
      </c>
      <c r="X5" s="84"/>
      <c r="Y5" s="84"/>
      <c r="Z5" s="84"/>
      <c r="AA5" s="84"/>
      <c r="AB5" s="40"/>
    </row>
    <row r="6" spans="2:29" x14ac:dyDescent="0.25">
      <c r="B6" s="12" t="s">
        <v>63</v>
      </c>
      <c r="C6" s="16"/>
      <c r="D6" s="16"/>
      <c r="E6" s="16"/>
      <c r="F6" s="16"/>
      <c r="G6" s="50">
        <v>1</v>
      </c>
      <c r="I6" s="12" t="s">
        <v>63</v>
      </c>
      <c r="J6" s="16"/>
      <c r="K6" s="16"/>
      <c r="L6" s="16"/>
      <c r="M6" s="16"/>
      <c r="N6" s="50">
        <v>1</v>
      </c>
      <c r="P6" s="12" t="s">
        <v>63</v>
      </c>
      <c r="Q6" s="16"/>
      <c r="R6" s="16"/>
      <c r="S6" s="16"/>
      <c r="T6" s="16"/>
      <c r="U6" s="51">
        <f>+'Wheat Dual ~800Lb'!H3</f>
        <v>0.625</v>
      </c>
      <c r="W6" s="83" t="s">
        <v>63</v>
      </c>
      <c r="X6" s="84"/>
      <c r="Y6" s="84"/>
      <c r="Z6" s="84"/>
      <c r="AA6" s="84"/>
      <c r="AB6" s="85">
        <v>0</v>
      </c>
    </row>
    <row r="7" spans="2:29" x14ac:dyDescent="0.25">
      <c r="B7" s="12" t="s">
        <v>64</v>
      </c>
      <c r="C7" s="16"/>
      <c r="D7" s="16"/>
      <c r="E7" s="16"/>
      <c r="F7" s="16"/>
      <c r="G7" s="54">
        <f>+G5*G3</f>
        <v>380</v>
      </c>
      <c r="I7" s="12" t="s">
        <v>64</v>
      </c>
      <c r="J7" s="16"/>
      <c r="K7" s="16"/>
      <c r="L7" s="16"/>
      <c r="M7" s="16"/>
      <c r="N7" s="54">
        <f>+N5*N3</f>
        <v>380</v>
      </c>
      <c r="O7" s="5"/>
      <c r="P7" s="12" t="s">
        <v>64</v>
      </c>
      <c r="Q7" s="16"/>
      <c r="R7" s="16"/>
      <c r="S7" s="16"/>
      <c r="T7" s="16"/>
      <c r="U7" s="54">
        <f>+U5*U3*U6</f>
        <v>237.5</v>
      </c>
      <c r="W7" s="83" t="s">
        <v>64</v>
      </c>
      <c r="X7" s="84"/>
      <c r="Y7" s="84"/>
      <c r="Z7" s="84"/>
      <c r="AA7" s="84"/>
      <c r="AB7" s="101">
        <v>0</v>
      </c>
    </row>
    <row r="8" spans="2:29" x14ac:dyDescent="0.25">
      <c r="B8" s="12"/>
      <c r="C8" s="16"/>
      <c r="D8" s="16"/>
      <c r="E8" s="16"/>
      <c r="F8" s="16"/>
      <c r="G8" s="39"/>
      <c r="I8" s="12" t="s">
        <v>65</v>
      </c>
      <c r="J8" s="16"/>
      <c r="K8" s="16"/>
      <c r="L8" s="16"/>
      <c r="M8" s="16"/>
      <c r="N8" s="39">
        <f>+'Wheat Dual  ~700Lb'!G4</f>
        <v>53.625</v>
      </c>
      <c r="O8" s="5"/>
      <c r="P8" s="12" t="s">
        <v>65</v>
      </c>
      <c r="Q8" s="16"/>
      <c r="R8" s="16"/>
      <c r="S8" s="16"/>
      <c r="T8" s="16"/>
      <c r="U8" s="54">
        <f>+'Wheat Dual ~800Lb'!G4+'Wheat Dual ~800Lb'!G5</f>
        <v>89.521250000000009</v>
      </c>
      <c r="W8" s="83" t="s">
        <v>65</v>
      </c>
      <c r="X8" s="84"/>
      <c r="Y8" s="84"/>
      <c r="Z8" s="84"/>
      <c r="AA8" s="84"/>
      <c r="AB8" s="58">
        <f>+'Wheat Graze Out'!G4+'Wheat Graze Out'!G5</f>
        <v>149.34833333333336</v>
      </c>
      <c r="AC8" s="19"/>
    </row>
    <row r="9" spans="2:29" x14ac:dyDescent="0.25">
      <c r="B9" s="42" t="s">
        <v>72</v>
      </c>
      <c r="C9" s="55"/>
      <c r="D9" s="55"/>
      <c r="E9" s="55"/>
      <c r="F9" s="55"/>
      <c r="G9" s="57">
        <f>+G7+G8</f>
        <v>380</v>
      </c>
      <c r="I9" s="42" t="s">
        <v>72</v>
      </c>
      <c r="J9" s="55"/>
      <c r="K9" s="55"/>
      <c r="L9" s="55"/>
      <c r="M9" s="55"/>
      <c r="N9" s="57">
        <f>+N7+N8</f>
        <v>433.625</v>
      </c>
      <c r="O9" s="6"/>
      <c r="P9" s="42" t="s">
        <v>72</v>
      </c>
      <c r="Q9" s="55"/>
      <c r="R9" s="55"/>
      <c r="S9" s="55"/>
      <c r="T9" s="55"/>
      <c r="U9" s="57">
        <f>+U7+U8</f>
        <v>327.02125000000001</v>
      </c>
      <c r="W9" s="42" t="s">
        <v>72</v>
      </c>
      <c r="X9" s="55"/>
      <c r="Y9" s="55"/>
      <c r="Z9" s="55"/>
      <c r="AA9" s="55"/>
      <c r="AB9" s="57">
        <f>+AB7+AB8</f>
        <v>149.34833333333336</v>
      </c>
      <c r="AC9" s="19"/>
    </row>
    <row r="10" spans="2:29" ht="5.25" customHeight="1" x14ac:dyDescent="0.25">
      <c r="B10" s="12"/>
      <c r="C10" s="16"/>
      <c r="D10" s="16"/>
      <c r="E10" s="16"/>
      <c r="F10" s="16"/>
      <c r="G10" s="13"/>
      <c r="I10" s="12"/>
      <c r="J10" s="16"/>
      <c r="K10" s="16"/>
      <c r="L10" s="16"/>
      <c r="M10" s="16"/>
      <c r="N10" s="13"/>
      <c r="P10" s="12"/>
      <c r="Q10" s="16"/>
      <c r="R10" s="16"/>
      <c r="S10" s="16"/>
      <c r="T10" s="16"/>
      <c r="U10" s="13"/>
      <c r="W10" s="83"/>
      <c r="X10" s="84"/>
      <c r="Y10" s="84"/>
      <c r="Z10" s="84"/>
      <c r="AA10" s="84"/>
      <c r="AB10" s="86"/>
    </row>
    <row r="11" spans="2:29" x14ac:dyDescent="0.25">
      <c r="B11" s="12" t="s">
        <v>11</v>
      </c>
      <c r="C11" s="16"/>
      <c r="D11" s="16"/>
      <c r="E11" s="16"/>
      <c r="F11" s="16"/>
      <c r="G11" s="58">
        <f>+'Wheat Grain'!G22</f>
        <v>196.09787499999999</v>
      </c>
      <c r="I11" s="12" t="s">
        <v>11</v>
      </c>
      <c r="J11" s="16"/>
      <c r="K11" s="16"/>
      <c r="L11" s="16"/>
      <c r="M11" s="16"/>
      <c r="N11" s="58">
        <f>+'Wheat Dual  ~700Lb'!G22</f>
        <v>220.943095</v>
      </c>
      <c r="O11" s="5"/>
      <c r="P11" s="12" t="s">
        <v>11</v>
      </c>
      <c r="Q11" s="16"/>
      <c r="R11" s="16"/>
      <c r="S11" s="16"/>
      <c r="T11" s="16"/>
      <c r="U11" s="58">
        <f>+'Wheat Dual ~800Lb'!G22</f>
        <v>220.943095</v>
      </c>
      <c r="W11" s="83" t="s">
        <v>11</v>
      </c>
      <c r="X11" s="84"/>
      <c r="Y11" s="84"/>
      <c r="Z11" s="84"/>
      <c r="AA11" s="84"/>
      <c r="AB11" s="58">
        <f>+'Wheat Graze Out'!G22</f>
        <v>215.07374999999999</v>
      </c>
      <c r="AC11" s="19"/>
    </row>
    <row r="12" spans="2:29" x14ac:dyDescent="0.25">
      <c r="B12" s="12" t="s">
        <v>61</v>
      </c>
      <c r="C12" s="16"/>
      <c r="D12" s="16"/>
      <c r="E12" s="16"/>
      <c r="F12" s="16"/>
      <c r="G12" s="58">
        <f>+'Wheat Grain'!G27</f>
        <v>49.6</v>
      </c>
      <c r="I12" s="12" t="s">
        <v>61</v>
      </c>
      <c r="J12" s="16"/>
      <c r="K12" s="16"/>
      <c r="L12" s="16"/>
      <c r="M12" s="16"/>
      <c r="N12" s="58">
        <f>+'Wheat Dual  ~700Lb'!G24</f>
        <v>49.6</v>
      </c>
      <c r="O12" s="5"/>
      <c r="P12" s="12" t="s">
        <v>61</v>
      </c>
      <c r="Q12" s="16"/>
      <c r="R12" s="16"/>
      <c r="S12" s="16"/>
      <c r="T12" s="16"/>
      <c r="U12" s="58">
        <f>+'Wheat Dual ~800Lb'!G24</f>
        <v>31</v>
      </c>
      <c r="W12" s="83" t="s">
        <v>61</v>
      </c>
      <c r="X12" s="84"/>
      <c r="Y12" s="84"/>
      <c r="Z12" s="84"/>
      <c r="AA12" s="84"/>
      <c r="AB12" s="58">
        <f>+'Wheat Dual ~800Lb'!N19</f>
        <v>0</v>
      </c>
      <c r="AC12" s="19"/>
    </row>
    <row r="13" spans="2:29" ht="15.75" customHeight="1" x14ac:dyDescent="0.25">
      <c r="B13" s="41" t="s">
        <v>33</v>
      </c>
      <c r="C13" s="47"/>
      <c r="D13" s="47"/>
      <c r="E13" s="47"/>
      <c r="F13" s="47"/>
      <c r="G13" s="59">
        <f>+G11+G12</f>
        <v>245.69787499999998</v>
      </c>
      <c r="I13" s="41" t="s">
        <v>33</v>
      </c>
      <c r="J13" s="47"/>
      <c r="K13" s="47"/>
      <c r="L13" s="47"/>
      <c r="M13" s="47"/>
      <c r="N13" s="59">
        <f>+N11+N12</f>
        <v>270.54309499999999</v>
      </c>
      <c r="O13" s="6"/>
      <c r="P13" s="41" t="s">
        <v>33</v>
      </c>
      <c r="Q13" s="47"/>
      <c r="R13" s="47"/>
      <c r="S13" s="47"/>
      <c r="T13" s="47"/>
      <c r="U13" s="59">
        <f>+U11+U12</f>
        <v>251.943095</v>
      </c>
      <c r="W13" s="87" t="s">
        <v>33</v>
      </c>
      <c r="X13" s="88"/>
      <c r="Y13" s="88"/>
      <c r="Z13" s="88"/>
      <c r="AA13" s="88"/>
      <c r="AB13" s="89">
        <f>+AB11+AB12</f>
        <v>215.07374999999999</v>
      </c>
      <c r="AC13" s="19"/>
    </row>
    <row r="14" spans="2:29" hidden="1" x14ac:dyDescent="0.25">
      <c r="B14" s="12"/>
      <c r="C14" s="16"/>
      <c r="D14" s="16"/>
      <c r="E14" s="16"/>
      <c r="F14" s="16"/>
      <c r="G14" s="13"/>
      <c r="I14" s="12"/>
      <c r="J14" s="16"/>
      <c r="K14" s="16"/>
      <c r="L14" s="16"/>
      <c r="M14" s="16"/>
      <c r="N14" s="13"/>
      <c r="P14" s="12"/>
      <c r="Q14" s="16"/>
      <c r="R14" s="16"/>
      <c r="S14" s="16"/>
      <c r="T14" s="16"/>
      <c r="U14" s="13"/>
      <c r="W14" s="83"/>
      <c r="X14" s="84"/>
      <c r="Y14" s="84"/>
      <c r="Z14" s="84"/>
      <c r="AA14" s="84"/>
      <c r="AB14" s="86"/>
    </row>
    <row r="15" spans="2:29" x14ac:dyDescent="0.25">
      <c r="B15" s="42" t="s">
        <v>74</v>
      </c>
      <c r="C15" s="55"/>
      <c r="D15" s="55"/>
      <c r="E15" s="55"/>
      <c r="F15" s="55"/>
      <c r="G15" s="97">
        <f>+G9-G13</f>
        <v>134.30212500000002</v>
      </c>
      <c r="H15" s="3"/>
      <c r="I15" s="42" t="s">
        <v>74</v>
      </c>
      <c r="J15" s="55"/>
      <c r="K15" s="55"/>
      <c r="L15" s="55"/>
      <c r="M15" s="55"/>
      <c r="N15" s="77">
        <f>+N9-N13</f>
        <v>163.08190500000001</v>
      </c>
      <c r="O15" s="6"/>
      <c r="P15" s="42" t="s">
        <v>74</v>
      </c>
      <c r="Q15" s="55"/>
      <c r="R15" s="55"/>
      <c r="S15" s="55"/>
      <c r="T15" s="55"/>
      <c r="U15" s="97">
        <f>+U9-U13</f>
        <v>75.07815500000001</v>
      </c>
      <c r="W15" s="42" t="s">
        <v>74</v>
      </c>
      <c r="X15" s="55"/>
      <c r="Y15" s="55"/>
      <c r="Z15" s="55"/>
      <c r="AA15" s="55"/>
      <c r="AB15" s="97">
        <f>+AB9-AB13</f>
        <v>-65.725416666666632</v>
      </c>
    </row>
    <row r="16" spans="2:29" ht="6" customHeight="1" x14ac:dyDescent="0.25">
      <c r="B16" s="12"/>
      <c r="C16" s="16"/>
      <c r="D16" s="16"/>
      <c r="E16" s="16"/>
      <c r="F16" s="16"/>
      <c r="G16" s="13"/>
      <c r="I16" s="12"/>
      <c r="J16" s="16"/>
      <c r="K16" s="16"/>
      <c r="L16" s="16"/>
      <c r="M16" s="16"/>
      <c r="N16" s="13"/>
      <c r="P16" s="12"/>
      <c r="Q16" s="16"/>
      <c r="R16" s="16"/>
      <c r="S16" s="16"/>
      <c r="T16" s="16"/>
      <c r="U16" s="78"/>
      <c r="W16" s="83"/>
      <c r="X16" s="84"/>
      <c r="Y16" s="84"/>
      <c r="Z16" s="84"/>
      <c r="AA16" s="84"/>
      <c r="AB16" s="79"/>
    </row>
    <row r="17" spans="2:28" x14ac:dyDescent="0.25">
      <c r="B17" s="12" t="s">
        <v>62</v>
      </c>
      <c r="C17" s="16"/>
      <c r="D17" s="16"/>
      <c r="E17" s="16"/>
      <c r="F17" s="16"/>
      <c r="G17" s="58">
        <f>+'Wheat Grain'!G47</f>
        <v>64.67</v>
      </c>
      <c r="I17" s="12" t="s">
        <v>62</v>
      </c>
      <c r="J17" s="16"/>
      <c r="K17" s="16"/>
      <c r="L17" s="16"/>
      <c r="M17" s="16"/>
      <c r="N17" s="58">
        <f>+'Wheat Dual  ~700Lb'!G47</f>
        <v>64.67</v>
      </c>
      <c r="O17" s="5"/>
      <c r="P17" s="12" t="s">
        <v>62</v>
      </c>
      <c r="Q17" s="16"/>
      <c r="R17" s="16"/>
      <c r="S17" s="16"/>
      <c r="T17" s="16"/>
      <c r="U17" s="99">
        <f>+'Wheat Dual ~800Lb'!G47</f>
        <v>64.67</v>
      </c>
      <c r="W17" s="83" t="s">
        <v>62</v>
      </c>
      <c r="X17" s="84"/>
      <c r="Y17" s="84"/>
      <c r="Z17" s="84"/>
      <c r="AA17" s="84"/>
      <c r="AB17" s="99">
        <f>+'Wheat Graze Out'!G47</f>
        <v>44.94</v>
      </c>
    </row>
    <row r="18" spans="2:28" ht="3" customHeight="1" x14ac:dyDescent="0.25">
      <c r="B18" s="12"/>
      <c r="C18" s="16"/>
      <c r="D18" s="16"/>
      <c r="E18" s="16"/>
      <c r="F18" s="16"/>
      <c r="G18" s="54"/>
      <c r="I18" s="12"/>
      <c r="J18" s="16"/>
      <c r="K18" s="16"/>
      <c r="L18" s="16"/>
      <c r="M18" s="16"/>
      <c r="N18" s="54"/>
      <c r="P18" s="12"/>
      <c r="Q18" s="16"/>
      <c r="R18" s="16"/>
      <c r="S18" s="16"/>
      <c r="T18" s="16"/>
      <c r="U18" s="100"/>
      <c r="W18" s="83"/>
      <c r="X18" s="84"/>
      <c r="Y18" s="84"/>
      <c r="Z18" s="84"/>
      <c r="AA18" s="84"/>
      <c r="AB18" s="79"/>
    </row>
    <row r="19" spans="2:28" ht="15.75" thickBot="1" x14ac:dyDescent="0.3">
      <c r="B19" s="44" t="s">
        <v>73</v>
      </c>
      <c r="C19" s="56"/>
      <c r="D19" s="56"/>
      <c r="E19" s="56"/>
      <c r="F19" s="56"/>
      <c r="G19" s="98">
        <f>+G15-G17</f>
        <v>69.632125000000016</v>
      </c>
      <c r="I19" s="44" t="s">
        <v>73</v>
      </c>
      <c r="J19" s="56"/>
      <c r="K19" s="56"/>
      <c r="L19" s="56"/>
      <c r="M19" s="56"/>
      <c r="N19" s="98">
        <f>+N15-N17</f>
        <v>98.411905000000004</v>
      </c>
      <c r="O19" s="5"/>
      <c r="P19" s="44" t="s">
        <v>73</v>
      </c>
      <c r="Q19" s="56"/>
      <c r="R19" s="56"/>
      <c r="S19" s="56"/>
      <c r="T19" s="56"/>
      <c r="U19" s="98">
        <f>+U15-U17</f>
        <v>10.408155000000008</v>
      </c>
      <c r="W19" s="44" t="s">
        <v>73</v>
      </c>
      <c r="X19" s="56"/>
      <c r="Y19" s="56"/>
      <c r="Z19" s="56"/>
      <c r="AA19" s="56"/>
      <c r="AB19" s="82">
        <f>+AB15-AB17</f>
        <v>-110.66541666666663</v>
      </c>
    </row>
    <row r="20" spans="2:28" ht="15.75" thickBot="1" x14ac:dyDescent="0.3">
      <c r="U20" s="94"/>
    </row>
    <row r="21" spans="2:28" x14ac:dyDescent="0.25">
      <c r="B21" s="11" t="s">
        <v>67</v>
      </c>
      <c r="C21" s="15"/>
      <c r="D21" s="15"/>
      <c r="E21" s="15"/>
      <c r="F21" s="15"/>
      <c r="G21" s="102">
        <f>+G13/G3</f>
        <v>6.1424468749999992</v>
      </c>
      <c r="I21" s="11" t="s">
        <v>67</v>
      </c>
      <c r="J21" s="15"/>
      <c r="K21" s="15"/>
      <c r="L21" s="15"/>
      <c r="M21" s="15"/>
      <c r="N21" s="102">
        <f>+(N13-N8)/N3</f>
        <v>5.4229523749999995</v>
      </c>
      <c r="O21" s="8"/>
      <c r="P21" s="11" t="s">
        <v>67</v>
      </c>
      <c r="Q21" s="15"/>
      <c r="R21" s="15"/>
      <c r="S21" s="15"/>
      <c r="T21" s="15"/>
      <c r="U21" s="95">
        <f>+(U13-N8)/U3</f>
        <v>4.9579523749999996</v>
      </c>
      <c r="W21" s="11" t="s">
        <v>81</v>
      </c>
      <c r="X21" s="15"/>
      <c r="Y21" s="15"/>
      <c r="Z21" s="15"/>
      <c r="AA21" s="15"/>
      <c r="AB21" s="46">
        <f>+AB13/AB4</f>
        <v>0.93605287973306239</v>
      </c>
    </row>
    <row r="22" spans="2:28" ht="15.75" thickBot="1" x14ac:dyDescent="0.3">
      <c r="B22" s="14" t="s">
        <v>66</v>
      </c>
      <c r="C22" s="17"/>
      <c r="D22" s="17"/>
      <c r="E22" s="17"/>
      <c r="F22" s="17"/>
      <c r="G22" s="103">
        <f>+(G13+G17)/G3</f>
        <v>7.7591968749999989</v>
      </c>
      <c r="I22" s="14" t="s">
        <v>66</v>
      </c>
      <c r="J22" s="17"/>
      <c r="K22" s="17"/>
      <c r="L22" s="17"/>
      <c r="M22" s="17"/>
      <c r="N22" s="103">
        <f>+(N13+N17-N8)/N3</f>
        <v>7.0397023750000001</v>
      </c>
      <c r="O22" s="8"/>
      <c r="P22" s="14" t="s">
        <v>66</v>
      </c>
      <c r="Q22" s="17"/>
      <c r="R22" s="17"/>
      <c r="S22" s="17"/>
      <c r="T22" s="17"/>
      <c r="U22" s="96">
        <f>+(U13+U17-N8)/U3</f>
        <v>6.5747023749999993</v>
      </c>
      <c r="W22" s="14" t="s">
        <v>82</v>
      </c>
      <c r="X22" s="17"/>
      <c r="Y22" s="17"/>
      <c r="Z22" s="17"/>
      <c r="AA22" s="17"/>
      <c r="AB22" s="18">
        <f>+(AB17+AB13)/AB4</f>
        <v>1.1316426084433482</v>
      </c>
    </row>
    <row r="23" spans="2:28" ht="4.9000000000000004" customHeight="1" x14ac:dyDescent="0.25"/>
    <row r="24" spans="2:28" ht="16.5" hidden="1" thickTop="1" thickBot="1" x14ac:dyDescent="0.3">
      <c r="B24" s="352" t="s">
        <v>117</v>
      </c>
      <c r="C24" s="353"/>
      <c r="D24" s="353"/>
      <c r="E24" s="353"/>
      <c r="F24" s="353"/>
      <c r="G24" s="354"/>
      <c r="I24" s="352" t="s">
        <v>117</v>
      </c>
      <c r="J24" s="353"/>
      <c r="K24" s="353"/>
      <c r="L24" s="353"/>
      <c r="M24" s="353"/>
      <c r="N24" s="354"/>
      <c r="P24" s="352" t="s">
        <v>117</v>
      </c>
      <c r="Q24" s="353"/>
      <c r="R24" s="353"/>
      <c r="S24" s="353"/>
      <c r="T24" s="353"/>
      <c r="U24" s="354"/>
      <c r="W24" s="352" t="s">
        <v>117</v>
      </c>
      <c r="X24" s="353"/>
      <c r="Y24" s="353"/>
      <c r="Z24" s="353"/>
      <c r="AA24" s="353"/>
      <c r="AB24" s="354"/>
    </row>
    <row r="25" spans="2:28" ht="15.75" hidden="1" thickTop="1" x14ac:dyDescent="0.25">
      <c r="B25" s="60" t="s">
        <v>58</v>
      </c>
      <c r="C25" s="361" t="s">
        <v>114</v>
      </c>
      <c r="D25" s="362"/>
      <c r="E25" s="362" t="s">
        <v>60</v>
      </c>
      <c r="F25" s="362"/>
      <c r="G25" s="363"/>
      <c r="I25" s="60" t="s">
        <v>58</v>
      </c>
      <c r="J25" s="191" t="s">
        <v>114</v>
      </c>
      <c r="K25" s="192"/>
      <c r="L25" s="192" t="s">
        <v>60</v>
      </c>
      <c r="M25" s="192"/>
      <c r="N25" s="193"/>
      <c r="O25" s="7"/>
      <c r="P25" s="60" t="s">
        <v>58</v>
      </c>
      <c r="Q25" s="191" t="s">
        <v>114</v>
      </c>
      <c r="R25" s="192"/>
      <c r="S25" s="192" t="s">
        <v>60</v>
      </c>
      <c r="T25" s="192"/>
      <c r="U25" s="193"/>
      <c r="W25" s="60" t="s">
        <v>109</v>
      </c>
      <c r="X25" s="361" t="s">
        <v>107</v>
      </c>
      <c r="Y25" s="362"/>
      <c r="Z25" s="362"/>
      <c r="AA25" s="362"/>
      <c r="AB25" s="363"/>
    </row>
    <row r="26" spans="2:28" ht="15.75" hidden="1" thickBot="1" x14ac:dyDescent="0.3">
      <c r="B26" s="61"/>
      <c r="C26" s="74">
        <f>+E26*0.9</f>
        <v>8.5500000000000007</v>
      </c>
      <c r="D26" s="75">
        <f>+E26*0.95</f>
        <v>9.0250000000000004</v>
      </c>
      <c r="E26" s="80">
        <f>+G5</f>
        <v>9.5</v>
      </c>
      <c r="F26" s="75">
        <f>+E26*1.05</f>
        <v>9.9749999999999996</v>
      </c>
      <c r="G26" s="76">
        <f>+E26*1.1</f>
        <v>10.450000000000001</v>
      </c>
      <c r="I26" s="61"/>
      <c r="J26" s="74">
        <f>+L26*0.9</f>
        <v>8.5500000000000007</v>
      </c>
      <c r="K26" s="75">
        <f>+L26*0.95</f>
        <v>9.0250000000000004</v>
      </c>
      <c r="L26" s="80">
        <f>+N5</f>
        <v>9.5</v>
      </c>
      <c r="M26" s="75">
        <f>+L26*1.05</f>
        <v>9.9749999999999996</v>
      </c>
      <c r="N26" s="76">
        <f>+L26*1.1</f>
        <v>10.450000000000001</v>
      </c>
      <c r="O26" s="9"/>
      <c r="P26" s="61"/>
      <c r="Q26" s="74">
        <f>+S26*0.9</f>
        <v>8.5500000000000007</v>
      </c>
      <c r="R26" s="75">
        <f>+S26*0.95</f>
        <v>9.0250000000000004</v>
      </c>
      <c r="S26" s="80">
        <f>+U5</f>
        <v>9.5</v>
      </c>
      <c r="T26" s="75">
        <f>+S26*1.05</f>
        <v>9.9749999999999996</v>
      </c>
      <c r="U26" s="76">
        <f>+S26*1.1</f>
        <v>10.450000000000001</v>
      </c>
      <c r="W26" s="61" t="s">
        <v>8</v>
      </c>
      <c r="X26" s="74">
        <v>0.44</v>
      </c>
      <c r="Y26" s="75">
        <f>+Z26*0.9</f>
        <v>0.58500000000000008</v>
      </c>
      <c r="Z26" s="90">
        <f>+'Wheat Graze Out'!N5</f>
        <v>0.65</v>
      </c>
      <c r="AA26" s="75">
        <v>0.7</v>
      </c>
      <c r="AB26" s="76">
        <v>0.8</v>
      </c>
    </row>
    <row r="27" spans="2:28" ht="15.75" hidden="1" thickTop="1" x14ac:dyDescent="0.25">
      <c r="B27" s="62">
        <v>30</v>
      </c>
      <c r="C27" s="63">
        <f>+(C$26*$B27-$G$13-$G$17)</f>
        <v>-53.867874999999984</v>
      </c>
      <c r="D27" s="64">
        <f>+(D$26*$B27-$G$13-$G$17)</f>
        <v>-39.617874999999984</v>
      </c>
      <c r="E27" s="64">
        <f t="shared" ref="E27:G27" si="0">+(E$26*$B27-$G$13-$G$17)</f>
        <v>-25.367874999999984</v>
      </c>
      <c r="F27" s="64">
        <f t="shared" si="0"/>
        <v>-11.117874999999984</v>
      </c>
      <c r="G27" s="65">
        <f t="shared" si="0"/>
        <v>3.1321250000000731</v>
      </c>
      <c r="I27" s="81">
        <f t="shared" ref="I27:I28" si="1">+B27</f>
        <v>30</v>
      </c>
      <c r="J27" s="63">
        <f>+(J$26*$I27+$N$8-$N$13-$N$17)</f>
        <v>-25.088094999999996</v>
      </c>
      <c r="K27" s="64">
        <f t="shared" ref="K27:N27" si="2">+(K$26*$I27+$N$8-$N$13-$N$17)</f>
        <v>-10.838094999999996</v>
      </c>
      <c r="L27" s="64">
        <f t="shared" si="2"/>
        <v>3.4119050000000044</v>
      </c>
      <c r="M27" s="64">
        <f t="shared" si="2"/>
        <v>17.661905000000004</v>
      </c>
      <c r="N27" s="65">
        <f t="shared" si="2"/>
        <v>31.911905000000061</v>
      </c>
      <c r="P27" s="62">
        <f>I27</f>
        <v>30</v>
      </c>
      <c r="Q27" s="63">
        <f>+(Q$26*$P27*$U$6+$U$8-$U$13-$U$17)</f>
        <v>-66.779344999999992</v>
      </c>
      <c r="R27" s="64">
        <f t="shared" ref="R27:U27" si="3">+(R$26*$P27*$U$6+$U$8-$U$13-$U$17)</f>
        <v>-57.873094999999992</v>
      </c>
      <c r="S27" s="64">
        <f t="shared" si="3"/>
        <v>-48.966844999999992</v>
      </c>
      <c r="T27" s="64">
        <f t="shared" si="3"/>
        <v>-40.060594999999992</v>
      </c>
      <c r="U27" s="65">
        <f t="shared" si="3"/>
        <v>-31.154344999999992</v>
      </c>
      <c r="W27" s="62">
        <f>+W29*0.9</f>
        <v>206.79000000000002</v>
      </c>
      <c r="X27" s="63">
        <f>+(X$26*$W27)-$AB$13-$AB$17</f>
        <v>-169.02614999999997</v>
      </c>
      <c r="Y27" s="64">
        <f t="shared" ref="Y27:AB27" si="4">+(Y$26*$W27)-$AB$13-$AB$17</f>
        <v>-139.04159999999996</v>
      </c>
      <c r="Z27" s="64">
        <f t="shared" si="4"/>
        <v>-125.60024999999996</v>
      </c>
      <c r="AA27" s="64">
        <f t="shared" si="4"/>
        <v>-115.26074999999997</v>
      </c>
      <c r="AB27" s="65">
        <f t="shared" si="4"/>
        <v>-94.581749999999971</v>
      </c>
    </row>
    <row r="28" spans="2:28" ht="15.75" hidden="1" thickBot="1" x14ac:dyDescent="0.3">
      <c r="B28" s="66">
        <f>B29*0.9</f>
        <v>36</v>
      </c>
      <c r="C28" s="67">
        <f t="shared" ref="C28:G31" si="5">+(C$26*$B28-$G$13-$G$17)</f>
        <v>-2.5678749999999724</v>
      </c>
      <c r="D28" s="68">
        <f t="shared" si="5"/>
        <v>14.53212500000005</v>
      </c>
      <c r="E28" s="135">
        <f t="shared" si="5"/>
        <v>31.632125000000016</v>
      </c>
      <c r="F28" s="68">
        <f t="shared" si="5"/>
        <v>48.732124999999982</v>
      </c>
      <c r="G28" s="69">
        <f t="shared" si="5"/>
        <v>65.832125000000062</v>
      </c>
      <c r="I28" s="81">
        <f t="shared" si="1"/>
        <v>36</v>
      </c>
      <c r="J28" s="67">
        <f t="shared" ref="J28:N31" si="6">+(J$26*$I28+$N$8-$N$13-$N$17)</f>
        <v>26.211905000000016</v>
      </c>
      <c r="K28" s="68">
        <f t="shared" si="6"/>
        <v>43.311905000000039</v>
      </c>
      <c r="L28" s="135">
        <f t="shared" si="6"/>
        <v>60.411905000000004</v>
      </c>
      <c r="M28" s="68">
        <f t="shared" si="6"/>
        <v>77.51190499999997</v>
      </c>
      <c r="N28" s="69">
        <f t="shared" si="6"/>
        <v>94.61190500000005</v>
      </c>
      <c r="P28" s="66">
        <f>I28</f>
        <v>36</v>
      </c>
      <c r="Q28" s="67">
        <f t="shared" ref="Q28:U31" si="7">+(Q$26*$P28*$U$6+$U$8-$U$13-$U$17)</f>
        <v>-34.716844999999992</v>
      </c>
      <c r="R28" s="68">
        <f t="shared" si="7"/>
        <v>-24.029344999999992</v>
      </c>
      <c r="S28" s="135">
        <f t="shared" si="7"/>
        <v>-13.341844999999992</v>
      </c>
      <c r="T28" s="68">
        <f t="shared" si="7"/>
        <v>-2.6543449999999922</v>
      </c>
      <c r="U28" s="69">
        <f t="shared" si="7"/>
        <v>8.0331550000000078</v>
      </c>
      <c r="W28" s="66">
        <f>+W29*0.95</f>
        <v>218.27833333333334</v>
      </c>
      <c r="X28" s="67">
        <f t="shared" ref="X28:AB31" si="8">+(X$26*$W28)-$AB$13-$AB$17</f>
        <v>-163.9712833333333</v>
      </c>
      <c r="Y28" s="68">
        <f t="shared" si="8"/>
        <v>-132.32092499999999</v>
      </c>
      <c r="Z28" s="135">
        <f t="shared" si="8"/>
        <v>-118.13283333333331</v>
      </c>
      <c r="AA28" s="68">
        <f t="shared" si="8"/>
        <v>-107.21891666666667</v>
      </c>
      <c r="AB28" s="69">
        <f t="shared" si="8"/>
        <v>-85.391083333333313</v>
      </c>
    </row>
    <row r="29" spans="2:28" ht="15.75" hidden="1" thickBot="1" x14ac:dyDescent="0.3">
      <c r="B29" s="81">
        <f>+G3</f>
        <v>40</v>
      </c>
      <c r="C29" s="67">
        <f t="shared" si="5"/>
        <v>31.632125000000016</v>
      </c>
      <c r="D29" s="133">
        <f t="shared" si="5"/>
        <v>50.632125000000016</v>
      </c>
      <c r="E29" s="137">
        <f t="shared" si="5"/>
        <v>69.632125000000016</v>
      </c>
      <c r="F29" s="134">
        <f t="shared" si="5"/>
        <v>88.632125000000016</v>
      </c>
      <c r="G29" s="69">
        <f t="shared" si="5"/>
        <v>107.63212500000007</v>
      </c>
      <c r="I29" s="81">
        <f>+B29</f>
        <v>40</v>
      </c>
      <c r="J29" s="67">
        <f t="shared" si="6"/>
        <v>60.411905000000004</v>
      </c>
      <c r="K29" s="133">
        <f t="shared" si="6"/>
        <v>79.411905000000004</v>
      </c>
      <c r="L29" s="137">
        <f>+(L$26*$I29+$N$8-$N$13-$N$17)</f>
        <v>98.411905000000004</v>
      </c>
      <c r="M29" s="134">
        <f t="shared" si="6"/>
        <v>117.411905</v>
      </c>
      <c r="N29" s="69">
        <f t="shared" si="6"/>
        <v>136.41190500000005</v>
      </c>
      <c r="P29" s="81">
        <f>+U3</f>
        <v>40</v>
      </c>
      <c r="Q29" s="67">
        <f t="shared" si="7"/>
        <v>-13.341844999999992</v>
      </c>
      <c r="R29" s="133">
        <f t="shared" si="7"/>
        <v>-1.4668449999999922</v>
      </c>
      <c r="S29" s="137">
        <f t="shared" si="7"/>
        <v>10.408155000000008</v>
      </c>
      <c r="T29" s="134">
        <f t="shared" si="7"/>
        <v>22.283155000000008</v>
      </c>
      <c r="U29" s="69">
        <f t="shared" si="7"/>
        <v>34.158155000000065</v>
      </c>
      <c r="W29" s="81">
        <f>+AB4</f>
        <v>229.76666666666668</v>
      </c>
      <c r="X29" s="67">
        <f t="shared" si="8"/>
        <v>-158.91641666666663</v>
      </c>
      <c r="Y29" s="133">
        <f t="shared" si="8"/>
        <v>-125.60024999999996</v>
      </c>
      <c r="Z29" s="137">
        <f t="shared" si="8"/>
        <v>-110.66541666666663</v>
      </c>
      <c r="AA29" s="134">
        <f t="shared" si="8"/>
        <v>-99.177083333333314</v>
      </c>
      <c r="AB29" s="69">
        <f t="shared" si="8"/>
        <v>-76.200416666666626</v>
      </c>
    </row>
    <row r="30" spans="2:28" hidden="1" x14ac:dyDescent="0.25">
      <c r="B30" s="66">
        <f>+B29*1.1</f>
        <v>44</v>
      </c>
      <c r="C30" s="67">
        <f t="shared" si="5"/>
        <v>65.832125000000062</v>
      </c>
      <c r="D30" s="68">
        <f t="shared" si="5"/>
        <v>86.732125000000039</v>
      </c>
      <c r="E30" s="136">
        <f t="shared" si="5"/>
        <v>107.63212500000002</v>
      </c>
      <c r="F30" s="68">
        <f t="shared" si="5"/>
        <v>128.53212500000001</v>
      </c>
      <c r="G30" s="69">
        <f t="shared" si="5"/>
        <v>149.4321250000001</v>
      </c>
      <c r="I30" s="81">
        <f t="shared" ref="I30:I31" si="9">+B30</f>
        <v>44</v>
      </c>
      <c r="J30" s="67">
        <f t="shared" si="6"/>
        <v>94.61190500000005</v>
      </c>
      <c r="K30" s="68">
        <f t="shared" si="6"/>
        <v>115.51190500000003</v>
      </c>
      <c r="L30" s="136">
        <f t="shared" si="6"/>
        <v>136.41190499999999</v>
      </c>
      <c r="M30" s="68">
        <f t="shared" si="6"/>
        <v>157.31190499999997</v>
      </c>
      <c r="N30" s="69">
        <f t="shared" si="6"/>
        <v>178.21190500000006</v>
      </c>
      <c r="P30" s="66">
        <f>I30</f>
        <v>44</v>
      </c>
      <c r="Q30" s="67">
        <f t="shared" si="7"/>
        <v>8.0331550000000078</v>
      </c>
      <c r="R30" s="68">
        <f t="shared" si="7"/>
        <v>21.095655000000008</v>
      </c>
      <c r="S30" s="136">
        <f t="shared" si="7"/>
        <v>34.158155000000008</v>
      </c>
      <c r="T30" s="68">
        <f t="shared" si="7"/>
        <v>47.220655000000008</v>
      </c>
      <c r="U30" s="69">
        <f t="shared" si="7"/>
        <v>60.283155000000065</v>
      </c>
      <c r="W30" s="66">
        <f>+W29*1.05</f>
        <v>241.25500000000002</v>
      </c>
      <c r="X30" s="67">
        <f t="shared" si="8"/>
        <v>-153.86154999999997</v>
      </c>
      <c r="Y30" s="68">
        <f t="shared" si="8"/>
        <v>-118.87957499999996</v>
      </c>
      <c r="Z30" s="136">
        <f t="shared" si="8"/>
        <v>-103.19799999999998</v>
      </c>
      <c r="AA30" s="68">
        <f t="shared" si="8"/>
        <v>-91.135249999999985</v>
      </c>
      <c r="AB30" s="69">
        <f t="shared" si="8"/>
        <v>-67.009749999999968</v>
      </c>
    </row>
    <row r="31" spans="2:28" ht="15.75" hidden="1" thickBot="1" x14ac:dyDescent="0.3">
      <c r="B31" s="70">
        <f>+B29*1.2</f>
        <v>48</v>
      </c>
      <c r="C31" s="71">
        <f t="shared" si="5"/>
        <v>100.03212500000005</v>
      </c>
      <c r="D31" s="72">
        <f t="shared" si="5"/>
        <v>122.83212500000006</v>
      </c>
      <c r="E31" s="72">
        <f t="shared" si="5"/>
        <v>145.63212500000003</v>
      </c>
      <c r="F31" s="72">
        <f t="shared" si="5"/>
        <v>168.43212499999998</v>
      </c>
      <c r="G31" s="73">
        <f t="shared" si="5"/>
        <v>191.23212500000005</v>
      </c>
      <c r="I31" s="81">
        <f t="shared" si="9"/>
        <v>48</v>
      </c>
      <c r="J31" s="71">
        <f t="shared" si="6"/>
        <v>128.81190500000002</v>
      </c>
      <c r="K31" s="72">
        <f t="shared" si="6"/>
        <v>151.61190500000004</v>
      </c>
      <c r="L31" s="72">
        <f t="shared" si="6"/>
        <v>174.41190499999999</v>
      </c>
      <c r="M31" s="72">
        <f t="shared" si="6"/>
        <v>197.21190499999994</v>
      </c>
      <c r="N31" s="73">
        <f t="shared" si="6"/>
        <v>220.01190500000001</v>
      </c>
      <c r="P31" s="70">
        <f>I31</f>
        <v>48</v>
      </c>
      <c r="Q31" s="71">
        <f t="shared" si="7"/>
        <v>29.408155000000008</v>
      </c>
      <c r="R31" s="72">
        <f t="shared" si="7"/>
        <v>43.658155000000008</v>
      </c>
      <c r="S31" s="72">
        <f t="shared" si="7"/>
        <v>57.908155000000008</v>
      </c>
      <c r="T31" s="72">
        <f t="shared" si="7"/>
        <v>72.158155000000008</v>
      </c>
      <c r="U31" s="73">
        <f t="shared" si="7"/>
        <v>86.408155000000008</v>
      </c>
      <c r="W31" s="70">
        <f>+W30*1.1</f>
        <v>265.38050000000004</v>
      </c>
      <c r="X31" s="71">
        <f t="shared" si="8"/>
        <v>-143.24632999999997</v>
      </c>
      <c r="Y31" s="72">
        <f t="shared" si="8"/>
        <v>-104.76615749999993</v>
      </c>
      <c r="Z31" s="72">
        <f t="shared" si="8"/>
        <v>-87.516424999999941</v>
      </c>
      <c r="AA31" s="72">
        <f t="shared" si="8"/>
        <v>-74.247399999999971</v>
      </c>
      <c r="AB31" s="73">
        <f t="shared" si="8"/>
        <v>-47.709349999999944</v>
      </c>
    </row>
    <row r="32" spans="2:28" ht="15.75" thickBot="1" x14ac:dyDescent="0.3">
      <c r="B32" s="92"/>
      <c r="C32" s="91"/>
      <c r="D32" s="91"/>
      <c r="E32" s="91"/>
      <c r="F32" s="91"/>
      <c r="G32" s="91"/>
      <c r="I32" s="92"/>
      <c r="J32" s="91"/>
      <c r="K32" s="91"/>
      <c r="L32" s="91"/>
      <c r="M32" s="91"/>
      <c r="N32" s="91"/>
      <c r="P32" s="92"/>
      <c r="Q32" s="91"/>
      <c r="R32" s="91"/>
      <c r="S32" s="91"/>
      <c r="T32" s="91"/>
      <c r="U32" s="91"/>
      <c r="W32" s="92"/>
      <c r="X32" s="91"/>
      <c r="Y32" s="91"/>
      <c r="Z32" s="91"/>
      <c r="AA32" s="91"/>
      <c r="AB32" s="91"/>
    </row>
    <row r="33" spans="2:28" ht="15.75" thickBot="1" x14ac:dyDescent="0.3">
      <c r="B33" s="92"/>
      <c r="C33" s="91"/>
      <c r="D33" s="91"/>
      <c r="E33" s="91"/>
      <c r="F33" s="91"/>
      <c r="G33" s="91"/>
      <c r="I33" s="368" t="s">
        <v>162</v>
      </c>
      <c r="J33" s="369"/>
      <c r="K33" s="369"/>
      <c r="L33" s="369"/>
      <c r="M33" s="369"/>
      <c r="N33" s="370"/>
      <c r="P33" s="368" t="s">
        <v>163</v>
      </c>
      <c r="Q33" s="369"/>
      <c r="R33" s="369"/>
      <c r="S33" s="369"/>
      <c r="T33" s="369"/>
      <c r="U33" s="370"/>
      <c r="W33" s="368" t="s">
        <v>165</v>
      </c>
      <c r="X33" s="369"/>
      <c r="Y33" s="369"/>
      <c r="Z33" s="369"/>
      <c r="AA33" s="369"/>
      <c r="AB33" s="370"/>
    </row>
    <row r="34" spans="2:28" ht="15.75" thickTop="1" x14ac:dyDescent="0.25">
      <c r="B34" s="92"/>
      <c r="C34" s="91"/>
      <c r="D34" s="91"/>
      <c r="E34" s="91"/>
      <c r="F34" s="91"/>
      <c r="G34" s="91"/>
      <c r="I34" s="220" t="s">
        <v>156</v>
      </c>
      <c r="J34" s="361" t="s">
        <v>155</v>
      </c>
      <c r="K34" s="362"/>
      <c r="L34" s="362"/>
      <c r="M34" s="362"/>
      <c r="N34" s="367"/>
      <c r="P34" s="220" t="s">
        <v>156</v>
      </c>
      <c r="Q34" s="361" t="s">
        <v>155</v>
      </c>
      <c r="R34" s="362"/>
      <c r="S34" s="362"/>
      <c r="T34" s="362"/>
      <c r="U34" s="367"/>
      <c r="W34" s="220" t="s">
        <v>156</v>
      </c>
      <c r="X34" s="361" t="s">
        <v>155</v>
      </c>
      <c r="Y34" s="362"/>
      <c r="Z34" s="362"/>
      <c r="AA34" s="362"/>
      <c r="AB34" s="367"/>
    </row>
    <row r="35" spans="2:28" ht="15.75" thickBot="1" x14ac:dyDescent="0.3">
      <c r="B35" s="92"/>
      <c r="C35" s="91"/>
      <c r="D35" s="91"/>
      <c r="E35" s="91"/>
      <c r="F35" s="91"/>
      <c r="G35" s="91"/>
      <c r="I35" s="221" t="s">
        <v>58</v>
      </c>
      <c r="J35" s="74">
        <f>J26</f>
        <v>8.5500000000000007</v>
      </c>
      <c r="K35" s="75">
        <f t="shared" ref="K35:N35" si="10">K26</f>
        <v>9.0250000000000004</v>
      </c>
      <c r="L35" s="80">
        <f t="shared" si="10"/>
        <v>9.5</v>
      </c>
      <c r="M35" s="75">
        <f t="shared" si="10"/>
        <v>9.9749999999999996</v>
      </c>
      <c r="N35" s="222">
        <f t="shared" si="10"/>
        <v>10.450000000000001</v>
      </c>
      <c r="P35" s="221" t="s">
        <v>58</v>
      </c>
      <c r="Q35" s="74">
        <f>Q26</f>
        <v>8.5500000000000007</v>
      </c>
      <c r="R35" s="75">
        <f t="shared" ref="R35:U35" si="11">R26</f>
        <v>9.0250000000000004</v>
      </c>
      <c r="S35" s="80">
        <f t="shared" si="11"/>
        <v>9.5</v>
      </c>
      <c r="T35" s="75">
        <f t="shared" si="11"/>
        <v>9.9749999999999996</v>
      </c>
      <c r="U35" s="222">
        <f t="shared" si="11"/>
        <v>10.450000000000001</v>
      </c>
      <c r="W35" s="221" t="s">
        <v>58</v>
      </c>
      <c r="X35" s="74">
        <f>C26</f>
        <v>8.5500000000000007</v>
      </c>
      <c r="Y35" s="75">
        <f>D26</f>
        <v>9.0250000000000004</v>
      </c>
      <c r="Z35" s="80">
        <f>E26</f>
        <v>9.5</v>
      </c>
      <c r="AA35" s="75">
        <f>F26</f>
        <v>9.9749999999999996</v>
      </c>
      <c r="AB35" s="222">
        <f>G26</f>
        <v>10.450000000000001</v>
      </c>
    </row>
    <row r="36" spans="2:28" ht="15.75" thickTop="1" x14ac:dyDescent="0.25">
      <c r="B36" s="92"/>
      <c r="C36" s="91"/>
      <c r="D36" s="91"/>
      <c r="E36" s="91"/>
      <c r="F36" s="91"/>
      <c r="G36" s="91"/>
      <c r="I36" s="223">
        <f>+I27</f>
        <v>30</v>
      </c>
      <c r="J36" s="178">
        <f>(C29-J27)/$N$4+'Wheat Dual  ~700Lb'!$F$4</f>
        <v>1.3375178181818184</v>
      </c>
      <c r="K36" s="179">
        <f>(D29-K27)/$N$4+'Wheat Dual  ~700Lb'!$F$4</f>
        <v>1.395093575757576</v>
      </c>
      <c r="L36" s="179">
        <f>(E29-L27)/$N$4+'Wheat Dual  ~700Lb'!$F$4</f>
        <v>1.4526693333333336</v>
      </c>
      <c r="M36" s="179">
        <f>(F29-M27)/$N$4+'Wheat Dual  ~700Lb'!$F$4</f>
        <v>1.5102450909090912</v>
      </c>
      <c r="N36" s="224">
        <f>(G29-N27)/$N$4+'Wheat Dual  ~700Lb'!$F$4</f>
        <v>1.5678208484848488</v>
      </c>
      <c r="P36" s="223">
        <f>P27</f>
        <v>30</v>
      </c>
      <c r="Q36" s="178">
        <f>(C29-Q27)/$U$4+'Wheat Dual ~800Lb'!$F$5</f>
        <v>1.3645505173352697</v>
      </c>
      <c r="R36" s="179">
        <f>(D29-R27)/$U$4+'Wheat Dual ~800Lb'!$F$5</f>
        <v>1.4378396805227809</v>
      </c>
      <c r="S36" s="179">
        <f>(E29-S27)/$U$4+'Wheat Dual ~800Lb'!$F$5</f>
        <v>1.5111288437102921</v>
      </c>
      <c r="T36" s="179">
        <f>(F29-T27)/$U$4+'Wheat Dual ~800Lb'!$F$5</f>
        <v>1.5844180068978035</v>
      </c>
      <c r="U36" s="224">
        <f>(G29-U27)/$U$4+'Wheat Dual ~800Lb'!$F$5</f>
        <v>1.6577071700853154</v>
      </c>
      <c r="W36" s="223">
        <f>B27</f>
        <v>30</v>
      </c>
      <c r="X36" s="178">
        <f>(C27-$Z$29)/$AB$4+'Wheat Graze Out'!$N$5</f>
        <v>0.89719661250544025</v>
      </c>
      <c r="Y36" s="179">
        <f>(D27-$Z$29)/$AB$4+'Wheat Graze Out'!$N$5</f>
        <v>0.95921605251704611</v>
      </c>
      <c r="Z36" s="179">
        <f>(E27-$Z$29)/$AB$4+'Wheat Graze Out'!$N$5</f>
        <v>1.0212354925286522</v>
      </c>
      <c r="AA36" s="179">
        <f>(F27-$Z$29)/$AB$4+'Wheat Graze Out'!$N$5</f>
        <v>1.0832549325402581</v>
      </c>
      <c r="AB36" s="224">
        <f>(G27-$Z$29)/$AB$4+'Wheat Graze Out'!$N$5</f>
        <v>1.1452743725518644</v>
      </c>
    </row>
    <row r="37" spans="2:28" ht="15.75" thickBot="1" x14ac:dyDescent="0.3">
      <c r="B37" s="92"/>
      <c r="C37" s="91"/>
      <c r="D37" s="91"/>
      <c r="E37" s="91"/>
      <c r="F37" s="91"/>
      <c r="G37" s="91"/>
      <c r="I37" s="223">
        <f>+I28</f>
        <v>36</v>
      </c>
      <c r="J37" s="181">
        <f>(C29-J28)/$N$4+'Wheat Dual  ~700Lb'!$F$4</f>
        <v>0.71569963636363643</v>
      </c>
      <c r="K37" s="182">
        <f>(D29-K28)/$N$4+'Wheat Dual  ~700Lb'!$F$4</f>
        <v>0.73872993939393916</v>
      </c>
      <c r="L37" s="183">
        <f>(E29-L28)/$N$4+'Wheat Dual  ~700Lb'!$F$4</f>
        <v>0.76176024242424256</v>
      </c>
      <c r="M37" s="182">
        <f>(F29-M28)/$N$4+'Wheat Dual  ~700Lb'!$F$4</f>
        <v>0.78479054545454607</v>
      </c>
      <c r="N37" s="226">
        <f>(G29-N28)/$N$4+'Wheat Dual  ~700Lb'!$F$4</f>
        <v>0.80782084848484881</v>
      </c>
      <c r="P37" s="225">
        <f>+I37</f>
        <v>36</v>
      </c>
      <c r="Q37" s="181">
        <f>(C29-Q28)/$U$4+'Wheat Dual ~800Lb'!$F$5</f>
        <v>1.131749646033763</v>
      </c>
      <c r="R37" s="182">
        <f>(D29-R28)/$U$4+'Wheat Dual ~800Lb'!$F$5</f>
        <v>1.1921054274823017</v>
      </c>
      <c r="S37" s="183">
        <f>(E29-S28)/$U$4+'Wheat Dual ~800Lb'!$F$5</f>
        <v>1.2524612089308405</v>
      </c>
      <c r="T37" s="182">
        <f>(F29-T28)/$U$4+'Wheat Dual ~800Lb'!$F$5</f>
        <v>1.3128169903793792</v>
      </c>
      <c r="U37" s="226">
        <f>(G29-U28)/$U$4+'Wheat Dual ~800Lb'!$F$5</f>
        <v>1.3731727718279183</v>
      </c>
      <c r="W37" s="225">
        <f>+P37</f>
        <v>36</v>
      </c>
      <c r="X37" s="181">
        <f>(C28-$Z$29)/$AB$4+'Wheat Graze Out'!$N$5</f>
        <v>1.1204665965472218</v>
      </c>
      <c r="Y37" s="182">
        <f>(D28-$Z$29)/$AB$4+'Wheat Graze Out'!$N$5</f>
        <v>1.1948899245611491</v>
      </c>
      <c r="Z37" s="183">
        <f>(E28-$Z$29)/$AB$4+'Wheat Graze Out'!$N$5</f>
        <v>1.2693132525750759</v>
      </c>
      <c r="AA37" s="182">
        <f>(F28-$Z$29)/$AB$4+'Wheat Graze Out'!$N$5</f>
        <v>1.3437365805890029</v>
      </c>
      <c r="AB37" s="226">
        <f>(G28-$Z$29)/$AB$4+'Wheat Graze Out'!$N$5</f>
        <v>1.4181599086029304</v>
      </c>
    </row>
    <row r="38" spans="2:28" ht="15.75" thickBot="1" x14ac:dyDescent="0.3">
      <c r="B38" s="92"/>
      <c r="C38" s="91"/>
      <c r="D38" s="91"/>
      <c r="E38" s="91"/>
      <c r="F38" s="91"/>
      <c r="G38" s="91"/>
      <c r="I38" s="227">
        <f>I29</f>
        <v>40</v>
      </c>
      <c r="J38" s="228">
        <f>(C29-J29)/$N$4+'Wheat Dual  ~700Lb'!$F$4</f>
        <v>0.30115418181818199</v>
      </c>
      <c r="K38" s="229">
        <f>(D29-K29)/$N$4+'Wheat Dual  ~700Lb'!$F$4</f>
        <v>0.30115418181818199</v>
      </c>
      <c r="L38" s="177">
        <f>(E29-L29)/$N$4+'Wheat Dual  ~700Lb'!$F$4</f>
        <v>0.30115418181818199</v>
      </c>
      <c r="M38" s="230">
        <f>(F29-M29)/$N$4+'Wheat Dual  ~700Lb'!$F$4</f>
        <v>0.30115418181818199</v>
      </c>
      <c r="N38" s="231">
        <f>(G29-N29)/$N$4+'Wheat Dual  ~700Lb'!$F$4</f>
        <v>0.30115418181818215</v>
      </c>
      <c r="P38" s="227">
        <f t="shared" ref="P38" si="12">P29</f>
        <v>40</v>
      </c>
      <c r="Q38" s="228">
        <f>(C29-Q29)/$U$4+'Wheat Dual ~800Lb'!$F$5</f>
        <v>0.97654906516609186</v>
      </c>
      <c r="R38" s="229">
        <f>(D29-R29)/$U$4+'Wheat Dual ~800Lb'!$F$5</f>
        <v>1.0282825921219823</v>
      </c>
      <c r="S38" s="177">
        <f>(E29-S29)/$U$4+'Wheat Dual ~800Lb'!$F$5</f>
        <v>1.0800161190778725</v>
      </c>
      <c r="T38" s="230">
        <f>(F29-T29)/$U$4+'Wheat Dual ~800Lb'!$F$5</f>
        <v>1.131749646033763</v>
      </c>
      <c r="U38" s="231">
        <f>(G29-U29)/$U$4+'Wheat Dual ~800Lb'!$F$5</f>
        <v>1.1834831729896533</v>
      </c>
      <c r="W38" s="227">
        <f>B29</f>
        <v>40</v>
      </c>
      <c r="X38" s="228">
        <f>(C29-$Z$29)/$AB$4+'Wheat Graze Out'!$N$5</f>
        <v>1.2693132525750759</v>
      </c>
      <c r="Y38" s="229">
        <f>(D29-$Z$29)/$AB$4+'Wheat Graze Out'!$N$5</f>
        <v>1.3520058392572172</v>
      </c>
      <c r="Z38" s="177">
        <f>(E29-$Z$29)/$AB$4+'Wheat Graze Out'!$N$5</f>
        <v>1.4346984259393585</v>
      </c>
      <c r="AA38" s="230">
        <f>(F29-$Z$29)/$AB$4+'Wheat Graze Out'!$N$5</f>
        <v>1.5173910126214998</v>
      </c>
      <c r="AB38" s="231">
        <f>(G29-$Z$29)/$AB$4+'Wheat Graze Out'!$N$5</f>
        <v>1.6000835993036415</v>
      </c>
    </row>
    <row r="39" spans="2:28" x14ac:dyDescent="0.25">
      <c r="B39" s="92"/>
      <c r="C39" s="91"/>
      <c r="D39" s="91"/>
      <c r="E39" s="91"/>
      <c r="F39" s="91"/>
      <c r="G39" s="91"/>
      <c r="I39" s="92"/>
      <c r="J39" s="91"/>
      <c r="K39" s="91"/>
      <c r="L39" s="91"/>
      <c r="M39" s="91"/>
      <c r="N39" s="91"/>
      <c r="P39" s="92"/>
      <c r="Q39" s="91"/>
      <c r="R39" s="91"/>
      <c r="S39" s="91"/>
      <c r="T39" s="91"/>
      <c r="U39" s="91"/>
      <c r="W39" s="92"/>
      <c r="X39" s="91"/>
      <c r="Y39" s="91"/>
      <c r="Z39" s="91"/>
      <c r="AA39" s="91"/>
      <c r="AB39" s="91"/>
    </row>
    <row r="40" spans="2:28" hidden="1" x14ac:dyDescent="0.25">
      <c r="Q40" s="232">
        <f>Q29-C29</f>
        <v>-44.973970000000008</v>
      </c>
      <c r="R40" s="232">
        <f>R29-D29</f>
        <v>-52.098970000000008</v>
      </c>
      <c r="S40" s="232">
        <f>S29-E29</f>
        <v>-59.223970000000008</v>
      </c>
      <c r="T40" s="232">
        <f>T29-F29</f>
        <v>-66.348970000000008</v>
      </c>
      <c r="U40" s="232">
        <f>U29-G29</f>
        <v>-73.473970000000008</v>
      </c>
    </row>
  </sheetData>
  <sheetProtection sheet="1" objects="1" scenarios="1"/>
  <mergeCells count="16">
    <mergeCell ref="B24:G24"/>
    <mergeCell ref="I24:N24"/>
    <mergeCell ref="P24:U24"/>
    <mergeCell ref="W24:AB24"/>
    <mergeCell ref="B2:G2"/>
    <mergeCell ref="I2:N2"/>
    <mergeCell ref="P2:U2"/>
    <mergeCell ref="W2:AB2"/>
    <mergeCell ref="J34:N34"/>
    <mergeCell ref="Q34:U34"/>
    <mergeCell ref="X34:AB34"/>
    <mergeCell ref="C25:G25"/>
    <mergeCell ref="X25:AB25"/>
    <mergeCell ref="I33:N33"/>
    <mergeCell ref="P33:U33"/>
    <mergeCell ref="W33:AB33"/>
  </mergeCells>
  <conditionalFormatting sqref="C33:G38">
    <cfRule type="colorScale" priority="452">
      <colorScale>
        <cfvo type="min"/>
        <cfvo type="max"/>
        <color theme="0" tint="-4.9989318521683403E-2"/>
        <color theme="0" tint="-0.34998626667073579"/>
      </colorScale>
    </cfRule>
    <cfRule type="colorScale" priority="453">
      <colorScale>
        <cfvo type="min"/>
        <cfvo type="max"/>
        <color rgb="FFFCFCFF"/>
        <color rgb="FF63BE7B"/>
      </colorScale>
    </cfRule>
  </conditionalFormatting>
  <conditionalFormatting sqref="C33:G38">
    <cfRule type="colorScale" priority="4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9:G39 C27:G32">
    <cfRule type="colorScale" priority="458">
      <colorScale>
        <cfvo type="min"/>
        <cfvo type="max"/>
        <color theme="0" tint="-4.9989318521683403E-2"/>
        <color theme="0" tint="-0.34998626667073579"/>
      </colorScale>
    </cfRule>
    <cfRule type="colorScale" priority="459">
      <colorScale>
        <cfvo type="min"/>
        <cfvo type="max"/>
        <color rgb="FFFCFCFF"/>
        <color rgb="FF63BE7B"/>
      </colorScale>
    </cfRule>
  </conditionalFormatting>
  <conditionalFormatting sqref="Q39:U39 Q27:U32">
    <cfRule type="colorScale" priority="462">
      <colorScale>
        <cfvo type="min"/>
        <cfvo type="max"/>
        <color theme="0" tint="-4.9989318521683403E-2"/>
        <color theme="0" tint="-0.34998626667073579"/>
      </colorScale>
    </cfRule>
    <cfRule type="colorScale" priority="463">
      <colorScale>
        <cfvo type="min"/>
        <cfvo type="max"/>
        <color rgb="FFFCFCFF"/>
        <color rgb="FF63BE7B"/>
      </colorScale>
    </cfRule>
  </conditionalFormatting>
  <conditionalFormatting sqref="X39:AB39 X27:AB32">
    <cfRule type="colorScale" priority="466">
      <colorScale>
        <cfvo type="min"/>
        <cfvo type="max"/>
        <color theme="0" tint="-4.9989318521683403E-2"/>
        <color theme="0" tint="-0.34998626667073579"/>
      </colorScale>
    </cfRule>
    <cfRule type="colorScale" priority="467">
      <colorScale>
        <cfvo type="min"/>
        <cfvo type="max"/>
        <color rgb="FFFCFCFF"/>
        <color rgb="FF63BE7B"/>
      </colorScale>
    </cfRule>
  </conditionalFormatting>
  <conditionalFormatting sqref="J39:N39 J27:N32">
    <cfRule type="colorScale" priority="470">
      <colorScale>
        <cfvo type="min"/>
        <cfvo type="max"/>
        <color theme="0" tint="-4.9989318521683403E-2"/>
        <color theme="0" tint="-0.34998626667073579"/>
      </colorScale>
    </cfRule>
    <cfRule type="colorScale" priority="471">
      <colorScale>
        <cfvo type="min"/>
        <cfvo type="max"/>
        <color rgb="FFFCFCFF"/>
        <color rgb="FF63BE7B"/>
      </colorScale>
    </cfRule>
  </conditionalFormatting>
  <conditionalFormatting sqref="X39:AB39 C27:G32 J27:N32 Q27:U32 X27:AB32 Q39:U39 J39:N39 C39:G39">
    <cfRule type="colorScale" priority="47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36:U38">
    <cfRule type="colorScale" priority="9">
      <colorScale>
        <cfvo type="min"/>
        <cfvo type="max"/>
        <color theme="0" tint="-4.9989318521683403E-2"/>
        <color theme="0" tint="-0.34998626667073579"/>
      </colorScale>
    </cfRule>
    <cfRule type="colorScale" priority="10">
      <colorScale>
        <cfvo type="min"/>
        <cfvo type="max"/>
        <color rgb="FFFCFCFF"/>
        <color rgb="FF63BE7B"/>
      </colorScale>
    </cfRule>
  </conditionalFormatting>
  <conditionalFormatting sqref="Q36:U38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X36:AB38">
    <cfRule type="colorScale" priority="6">
      <colorScale>
        <cfvo type="min"/>
        <cfvo type="max"/>
        <color theme="0" tint="-4.9989318521683403E-2"/>
        <color theme="0" tint="-0.34998626667073579"/>
      </colorScale>
    </cfRule>
    <cfRule type="colorScale" priority="7">
      <colorScale>
        <cfvo type="min"/>
        <cfvo type="max"/>
        <color rgb="FFFCFCFF"/>
        <color rgb="FF63BE7B"/>
      </colorScale>
    </cfRule>
  </conditionalFormatting>
  <conditionalFormatting sqref="X36:AB38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36:N38">
    <cfRule type="colorScale" priority="3">
      <colorScale>
        <cfvo type="min"/>
        <cfvo type="max"/>
        <color theme="0" tint="-4.9989318521683403E-2"/>
        <color theme="0" tint="-0.34998626667073579"/>
      </colorScale>
    </cfRule>
    <cfRule type="colorScale" priority="4">
      <colorScale>
        <cfvo type="min"/>
        <cfvo type="max"/>
        <color rgb="FFFCFCFF"/>
        <color rgb="FF63BE7B"/>
      </colorScale>
    </cfRule>
  </conditionalFormatting>
  <conditionalFormatting sqref="J36:N3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D525A-5221-4A21-A79F-AEEF34894EAD}">
  <dimension ref="B1:AQ49"/>
  <sheetViews>
    <sheetView workbookViewId="0">
      <selection activeCell="G6" sqref="G6"/>
    </sheetView>
  </sheetViews>
  <sheetFormatPr defaultColWidth="8.85546875" defaultRowHeight="15" x14ac:dyDescent="0.25"/>
  <cols>
    <col min="1" max="1" width="3.7109375" style="1" customWidth="1"/>
    <col min="2" max="6" width="4.140625" style="1" customWidth="1"/>
    <col min="7" max="7" width="7.28515625" style="1" customWidth="1"/>
    <col min="8" max="8" width="2.42578125" style="1" customWidth="1"/>
    <col min="9" max="13" width="4.140625" style="1" customWidth="1"/>
    <col min="14" max="14" width="7.28515625" style="1" bestFit="1" customWidth="1"/>
    <col min="15" max="15" width="2.5703125" style="1" customWidth="1"/>
    <col min="16" max="16" width="6" style="1" customWidth="1"/>
    <col min="17" max="17" width="6.140625" style="1" customWidth="1"/>
    <col min="18" max="18" width="5.7109375" style="1" customWidth="1"/>
    <col min="19" max="19" width="3.7109375" style="1" customWidth="1"/>
    <col min="20" max="20" width="0.140625" style="1" customWidth="1"/>
    <col min="21" max="21" width="6.42578125" style="1" customWidth="1"/>
    <col min="22" max="22" width="1.85546875" style="1" customWidth="1"/>
    <col min="23" max="25" width="4.140625" style="1" customWidth="1"/>
    <col min="26" max="26" width="6.140625" style="1" customWidth="1"/>
    <col min="27" max="27" width="4.140625" style="1" customWidth="1"/>
    <col min="28" max="28" width="7" style="1" customWidth="1"/>
    <col min="29" max="29" width="2.42578125" style="1" customWidth="1"/>
    <col min="30" max="34" width="4.140625" style="1" customWidth="1"/>
    <col min="35" max="35" width="6.140625" style="1" customWidth="1"/>
    <col min="36" max="36" width="2.85546875" style="1" customWidth="1"/>
    <col min="37" max="41" width="4.140625" style="1" customWidth="1"/>
    <col min="42" max="42" width="5.140625" style="1" customWidth="1"/>
    <col min="43" max="16384" width="8.85546875" style="1"/>
  </cols>
  <sheetData>
    <row r="1" spans="2:43" ht="15.75" thickBot="1" x14ac:dyDescent="0.3">
      <c r="Z1" s="132"/>
    </row>
    <row r="2" spans="2:43" x14ac:dyDescent="0.25">
      <c r="B2" s="358" t="s">
        <v>57</v>
      </c>
      <c r="C2" s="359"/>
      <c r="D2" s="359"/>
      <c r="E2" s="359"/>
      <c r="F2" s="359"/>
      <c r="G2" s="360"/>
      <c r="H2" s="3"/>
      <c r="I2" s="358" t="s">
        <v>90</v>
      </c>
      <c r="J2" s="359"/>
      <c r="K2" s="359"/>
      <c r="L2" s="359"/>
      <c r="M2" s="359"/>
      <c r="N2" s="360"/>
      <c r="O2" s="10"/>
      <c r="P2" s="358" t="s">
        <v>91</v>
      </c>
      <c r="Q2" s="359"/>
      <c r="R2" s="359"/>
      <c r="S2" s="359"/>
      <c r="T2" s="359"/>
      <c r="U2" s="360"/>
      <c r="W2" s="358" t="s">
        <v>92</v>
      </c>
      <c r="X2" s="359"/>
      <c r="Y2" s="359"/>
      <c r="Z2" s="359"/>
      <c r="AA2" s="359"/>
      <c r="AB2" s="360"/>
      <c r="AD2" s="358" t="s">
        <v>124</v>
      </c>
      <c r="AE2" s="359"/>
      <c r="AF2" s="359"/>
      <c r="AG2" s="359"/>
      <c r="AH2" s="359"/>
      <c r="AI2" s="360"/>
      <c r="AK2" s="358" t="s">
        <v>137</v>
      </c>
      <c r="AL2" s="359"/>
      <c r="AM2" s="359"/>
      <c r="AN2" s="359"/>
      <c r="AO2" s="359"/>
      <c r="AP2" s="360"/>
    </row>
    <row r="3" spans="2:43" x14ac:dyDescent="0.25">
      <c r="B3" s="12" t="s">
        <v>84</v>
      </c>
      <c r="C3" s="16"/>
      <c r="D3" s="16"/>
      <c r="E3" s="16"/>
      <c r="F3" s="16"/>
      <c r="G3" s="45">
        <f>+'Wheat Grain'!D3</f>
        <v>40</v>
      </c>
      <c r="I3" s="12" t="s">
        <v>84</v>
      </c>
      <c r="J3" s="16"/>
      <c r="K3" s="16"/>
      <c r="L3" s="16"/>
      <c r="M3" s="16"/>
      <c r="N3" s="45">
        <f>+'Wheat Dual  ~700Lb'!D3</f>
        <v>35</v>
      </c>
      <c r="O3" s="2"/>
      <c r="P3" s="12" t="s">
        <v>84</v>
      </c>
      <c r="Q3" s="16"/>
      <c r="R3" s="16"/>
      <c r="S3" s="16"/>
      <c r="T3" s="16"/>
      <c r="U3" s="45">
        <f>+'Wheat Dual ~800Lb'!D3</f>
        <v>35</v>
      </c>
      <c r="W3" s="83" t="s">
        <v>84</v>
      </c>
      <c r="X3" s="84"/>
      <c r="Y3" s="84"/>
      <c r="Z3" s="84"/>
      <c r="AA3" s="84"/>
      <c r="AB3" s="45">
        <f>+Assumptions!F11</f>
        <v>0</v>
      </c>
      <c r="AD3" s="83"/>
      <c r="AE3" s="84"/>
      <c r="AF3" s="84"/>
      <c r="AG3" s="84"/>
      <c r="AH3" s="84"/>
      <c r="AI3" s="45"/>
      <c r="AK3" s="83"/>
      <c r="AL3" s="84"/>
      <c r="AM3" s="84"/>
      <c r="AN3" s="84"/>
      <c r="AO3" s="84"/>
      <c r="AP3" s="45"/>
    </row>
    <row r="4" spans="2:43" x14ac:dyDescent="0.25">
      <c r="B4" s="12"/>
      <c r="C4" s="16"/>
      <c r="D4" s="16"/>
      <c r="E4" s="16"/>
      <c r="F4" s="16"/>
      <c r="G4" s="45"/>
      <c r="I4" s="12"/>
      <c r="J4" s="16"/>
      <c r="K4" s="16"/>
      <c r="L4" s="16"/>
      <c r="M4" s="16"/>
      <c r="N4" s="45"/>
      <c r="O4" s="2"/>
      <c r="P4" s="12" t="s">
        <v>85</v>
      </c>
      <c r="Q4" s="16"/>
      <c r="R4" s="16"/>
      <c r="S4" s="16"/>
      <c r="T4" s="16"/>
      <c r="U4" s="45">
        <f>+'Wheat Dual ~800Lb'!D4+'Wheat Dual ~800Lb'!D5</f>
        <v>137.72500000000002</v>
      </c>
      <c r="W4" s="83" t="s">
        <v>85</v>
      </c>
      <c r="X4" s="84"/>
      <c r="Y4" s="84"/>
      <c r="Z4" s="84"/>
      <c r="AA4" s="84"/>
      <c r="AB4" s="45">
        <f>+'Wheat Graze Out'!M4+'Wheat Graze Out'!M5</f>
        <v>229.76666666666668</v>
      </c>
      <c r="AD4" s="83" t="s">
        <v>85</v>
      </c>
      <c r="AE4" s="84"/>
      <c r="AF4" s="84"/>
      <c r="AG4" s="84"/>
      <c r="AH4" s="84"/>
      <c r="AI4" s="45">
        <f>+'Fescue Established'!K4</f>
        <v>211.0497191011236</v>
      </c>
      <c r="AK4" s="83" t="s">
        <v>85</v>
      </c>
      <c r="AL4" s="84"/>
      <c r="AM4" s="84"/>
      <c r="AN4" s="84"/>
      <c r="AO4" s="84"/>
      <c r="AP4" s="45">
        <f>+Triticale!M5+Triticale!M4</f>
        <v>262.77785454088678</v>
      </c>
    </row>
    <row r="5" spans="2:43" x14ac:dyDescent="0.25">
      <c r="B5" s="12" t="s">
        <v>60</v>
      </c>
      <c r="C5" s="16"/>
      <c r="D5" s="16"/>
      <c r="E5" s="16"/>
      <c r="F5" s="16"/>
      <c r="G5" s="49">
        <f>+Assumptions!F14</f>
        <v>9.5</v>
      </c>
      <c r="I5" s="12" t="s">
        <v>60</v>
      </c>
      <c r="J5" s="16"/>
      <c r="K5" s="16"/>
      <c r="L5" s="16"/>
      <c r="M5" s="16"/>
      <c r="N5" s="49">
        <f>+G5</f>
        <v>9.5</v>
      </c>
      <c r="P5" s="12" t="s">
        <v>60</v>
      </c>
      <c r="Q5" s="16"/>
      <c r="R5" s="16"/>
      <c r="S5" s="16"/>
      <c r="T5" s="16"/>
      <c r="U5" s="101">
        <f>+N5</f>
        <v>9.5</v>
      </c>
      <c r="W5" s="83"/>
      <c r="X5" s="84"/>
      <c r="Y5" s="84"/>
      <c r="Z5" s="84"/>
      <c r="AA5" s="84"/>
      <c r="AB5" s="40"/>
      <c r="AD5" s="83"/>
      <c r="AE5" s="84"/>
      <c r="AF5" s="84"/>
      <c r="AG5" s="84"/>
      <c r="AH5" s="84"/>
      <c r="AI5" s="40"/>
      <c r="AK5" s="83"/>
      <c r="AL5" s="84"/>
      <c r="AM5" s="84"/>
      <c r="AN5" s="84"/>
      <c r="AO5" s="84"/>
      <c r="AP5" s="40"/>
    </row>
    <row r="6" spans="2:43" x14ac:dyDescent="0.25">
      <c r="B6" s="12" t="s">
        <v>63</v>
      </c>
      <c r="C6" s="16"/>
      <c r="D6" s="16"/>
      <c r="E6" s="16"/>
      <c r="F6" s="16"/>
      <c r="G6" s="50">
        <v>1</v>
      </c>
      <c r="I6" s="12" t="s">
        <v>63</v>
      </c>
      <c r="J6" s="16"/>
      <c r="K6" s="16"/>
      <c r="L6" s="16"/>
      <c r="M6" s="16"/>
      <c r="N6" s="50">
        <v>1</v>
      </c>
      <c r="P6" s="12" t="s">
        <v>63</v>
      </c>
      <c r="Q6" s="16"/>
      <c r="R6" s="16"/>
      <c r="S6" s="16"/>
      <c r="T6" s="16"/>
      <c r="U6" s="51">
        <f>+'Wheat Dual ~800Lb'!H3</f>
        <v>0.625</v>
      </c>
      <c r="W6" s="83"/>
      <c r="X6" s="84"/>
      <c r="Y6" s="84"/>
      <c r="Z6" s="84"/>
      <c r="AA6" s="84"/>
      <c r="AB6" s="101"/>
      <c r="AD6" s="83"/>
      <c r="AE6" s="84"/>
      <c r="AF6" s="84"/>
      <c r="AG6" s="84"/>
      <c r="AH6" s="84"/>
      <c r="AI6" s="85"/>
      <c r="AK6" s="83"/>
      <c r="AL6" s="84"/>
      <c r="AM6" s="84"/>
      <c r="AN6" s="84"/>
      <c r="AO6" s="84"/>
      <c r="AP6" s="85"/>
    </row>
    <row r="7" spans="2:43" x14ac:dyDescent="0.25">
      <c r="B7" s="12" t="s">
        <v>64</v>
      </c>
      <c r="C7" s="16"/>
      <c r="D7" s="16"/>
      <c r="E7" s="16"/>
      <c r="F7" s="16"/>
      <c r="G7" s="54">
        <f>+G5*G3</f>
        <v>380</v>
      </c>
      <c r="I7" s="12" t="s">
        <v>64</v>
      </c>
      <c r="J7" s="16"/>
      <c r="K7" s="16"/>
      <c r="L7" s="16"/>
      <c r="M7" s="16"/>
      <c r="N7" s="54">
        <f>+N5*N3</f>
        <v>332.5</v>
      </c>
      <c r="O7" s="5"/>
      <c r="P7" s="12" t="s">
        <v>64</v>
      </c>
      <c r="Q7" s="16"/>
      <c r="R7" s="16"/>
      <c r="S7" s="16"/>
      <c r="T7" s="16"/>
      <c r="U7" s="54">
        <f>+U5*U3*U6</f>
        <v>207.8125</v>
      </c>
      <c r="W7" s="83"/>
      <c r="X7" s="84"/>
      <c r="Y7" s="84"/>
      <c r="Z7" s="84"/>
      <c r="AA7" s="84"/>
      <c r="AB7" s="58"/>
      <c r="AD7" s="83"/>
      <c r="AE7" s="84"/>
      <c r="AF7" s="84"/>
      <c r="AG7" s="84"/>
      <c r="AH7" s="84"/>
      <c r="AI7" s="58"/>
      <c r="AK7" s="83"/>
      <c r="AL7" s="84"/>
      <c r="AM7" s="84"/>
      <c r="AN7" s="84"/>
      <c r="AO7" s="84"/>
      <c r="AP7" s="58"/>
      <c r="AQ7" s="1">
        <f>264*0.55+51.5</f>
        <v>196.70000000000002</v>
      </c>
    </row>
    <row r="8" spans="2:43" x14ac:dyDescent="0.25">
      <c r="B8" s="12"/>
      <c r="C8" s="16"/>
      <c r="D8" s="16"/>
      <c r="E8" s="16"/>
      <c r="F8" s="16"/>
      <c r="G8" s="39"/>
      <c r="I8" s="155" t="s">
        <v>140</v>
      </c>
      <c r="J8" s="156"/>
      <c r="K8" s="156"/>
      <c r="L8" s="156"/>
      <c r="M8" s="156"/>
      <c r="N8" s="157">
        <f>+'Wheat Dual  ~700Lb'!G4+'Wheat Dual  ~700Lb'!N9</f>
        <v>89.125</v>
      </c>
      <c r="O8" s="5"/>
      <c r="P8" s="155" t="s">
        <v>140</v>
      </c>
      <c r="Q8" s="156"/>
      <c r="R8" s="156"/>
      <c r="S8" s="156"/>
      <c r="T8" s="156"/>
      <c r="U8" s="159">
        <f>+'Wheat Dual ~800Lb'!G4+'Wheat Dual ~800Lb'!G5+'Wheat Dual ~800Lb'!Q8</f>
        <v>141.02125000000001</v>
      </c>
      <c r="W8" s="160" t="s">
        <v>141</v>
      </c>
      <c r="X8" s="163"/>
      <c r="Y8" s="163"/>
      <c r="Z8" s="163"/>
      <c r="AA8" s="163"/>
      <c r="AB8" s="162">
        <f>+'Wheat Graze Out'!G4+'Wheat Graze Out'!G5+51.5</f>
        <v>200.84833333333336</v>
      </c>
      <c r="AC8" s="19"/>
      <c r="AD8" s="160" t="s">
        <v>141</v>
      </c>
      <c r="AE8" s="161"/>
      <c r="AF8" s="161"/>
      <c r="AG8" s="161"/>
      <c r="AH8" s="161"/>
      <c r="AI8" s="162">
        <v>172</v>
      </c>
      <c r="AK8" s="160" t="s">
        <v>141</v>
      </c>
      <c r="AL8" s="161"/>
      <c r="AM8" s="161"/>
      <c r="AN8" s="161"/>
      <c r="AO8" s="161"/>
      <c r="AP8" s="162">
        <v>196.5</v>
      </c>
    </row>
    <row r="9" spans="2:43" x14ac:dyDescent="0.25">
      <c r="B9" s="42" t="s">
        <v>72</v>
      </c>
      <c r="C9" s="55"/>
      <c r="D9" s="55"/>
      <c r="E9" s="55"/>
      <c r="F9" s="55"/>
      <c r="G9" s="57">
        <f>+G7+G8</f>
        <v>380</v>
      </c>
      <c r="I9" s="42" t="s">
        <v>72</v>
      </c>
      <c r="J9" s="55"/>
      <c r="K9" s="55"/>
      <c r="L9" s="55"/>
      <c r="M9" s="55"/>
      <c r="N9" s="57">
        <f>+N7+N8</f>
        <v>421.625</v>
      </c>
      <c r="O9" s="6"/>
      <c r="P9" s="42" t="s">
        <v>72</v>
      </c>
      <c r="Q9" s="55"/>
      <c r="R9" s="55"/>
      <c r="S9" s="55"/>
      <c r="T9" s="55"/>
      <c r="U9" s="57">
        <f>+U7+U8</f>
        <v>348.83375000000001</v>
      </c>
      <c r="W9" s="42" t="s">
        <v>72</v>
      </c>
      <c r="X9" s="55"/>
      <c r="Y9" s="55"/>
      <c r="Z9" s="55"/>
      <c r="AA9" s="55"/>
      <c r="AB9" s="57">
        <f>+AB6+AB7+AB8</f>
        <v>200.84833333333336</v>
      </c>
      <c r="AC9" s="19"/>
      <c r="AD9" s="42" t="s">
        <v>72</v>
      </c>
      <c r="AE9" s="55"/>
      <c r="AF9" s="55"/>
      <c r="AG9" s="55"/>
      <c r="AH9" s="55"/>
      <c r="AI9" s="57">
        <f>+AI7+AI8</f>
        <v>172</v>
      </c>
      <c r="AK9" s="42" t="s">
        <v>72</v>
      </c>
      <c r="AL9" s="55"/>
      <c r="AM9" s="55"/>
      <c r="AN9" s="55"/>
      <c r="AO9" s="55"/>
      <c r="AP9" s="57">
        <f>+AP7+AP8</f>
        <v>196.5</v>
      </c>
    </row>
    <row r="10" spans="2:43" x14ac:dyDescent="0.25">
      <c r="B10" s="12"/>
      <c r="C10" s="16"/>
      <c r="D10" s="16"/>
      <c r="E10" s="16"/>
      <c r="F10" s="16"/>
      <c r="G10" s="13"/>
      <c r="I10" s="12"/>
      <c r="J10" s="16"/>
      <c r="K10" s="16"/>
      <c r="L10" s="16"/>
      <c r="M10" s="16"/>
      <c r="N10" s="13"/>
      <c r="P10" s="12"/>
      <c r="Q10" s="16"/>
      <c r="R10" s="16"/>
      <c r="S10" s="16"/>
      <c r="T10" s="16"/>
      <c r="U10" s="13"/>
      <c r="W10" s="83"/>
      <c r="X10" s="84"/>
      <c r="Y10" s="84"/>
      <c r="Z10" s="84"/>
      <c r="AA10" s="84"/>
      <c r="AB10" s="86"/>
      <c r="AD10" s="83"/>
      <c r="AE10" s="84"/>
      <c r="AF10" s="84"/>
      <c r="AG10" s="84"/>
      <c r="AH10" s="84"/>
      <c r="AI10" s="86"/>
      <c r="AK10" s="83"/>
      <c r="AL10" s="84"/>
      <c r="AM10" s="84"/>
      <c r="AN10" s="84"/>
      <c r="AO10" s="84"/>
      <c r="AP10" s="86"/>
    </row>
    <row r="11" spans="2:43" x14ac:dyDescent="0.25">
      <c r="B11" s="12" t="s">
        <v>11</v>
      </c>
      <c r="C11" s="16"/>
      <c r="D11" s="16"/>
      <c r="E11" s="16"/>
      <c r="F11" s="16"/>
      <c r="G11" s="58">
        <f>+'Wheat Grain'!G22</f>
        <v>196.09787499999999</v>
      </c>
      <c r="I11" s="12" t="s">
        <v>11</v>
      </c>
      <c r="J11" s="16"/>
      <c r="K11" s="16"/>
      <c r="L11" s="16"/>
      <c r="M11" s="16"/>
      <c r="N11" s="58">
        <f>+'Wheat Dual  ~700Lb'!G22</f>
        <v>220.943095</v>
      </c>
      <c r="O11" s="5"/>
      <c r="P11" s="12" t="s">
        <v>11</v>
      </c>
      <c r="Q11" s="16"/>
      <c r="R11" s="16"/>
      <c r="S11" s="16"/>
      <c r="T11" s="16"/>
      <c r="U11" s="58">
        <f>+'Wheat Dual ~800Lb'!G22</f>
        <v>220.943095</v>
      </c>
      <c r="W11" s="83" t="s">
        <v>11</v>
      </c>
      <c r="X11" s="84"/>
      <c r="Y11" s="84"/>
      <c r="Z11" s="84"/>
      <c r="AA11" s="84"/>
      <c r="AB11" s="58">
        <f>+'Wheat Graze Out'!G22</f>
        <v>215.07374999999999</v>
      </c>
      <c r="AC11" s="19"/>
      <c r="AD11" s="83" t="s">
        <v>11</v>
      </c>
      <c r="AE11" s="84"/>
      <c r="AF11" s="84"/>
      <c r="AG11" s="84"/>
      <c r="AH11" s="84"/>
      <c r="AI11" s="58">
        <f>+'Fescue Established'!G22</f>
        <v>48.197906976744186</v>
      </c>
      <c r="AK11" s="83" t="s">
        <v>11</v>
      </c>
      <c r="AL11" s="84"/>
      <c r="AM11" s="84"/>
      <c r="AN11" s="84"/>
      <c r="AO11" s="84"/>
      <c r="AP11" s="58">
        <f>+Triticale!G22</f>
        <v>143.22687500000001</v>
      </c>
    </row>
    <row r="12" spans="2:43" x14ac:dyDescent="0.25">
      <c r="B12" s="12" t="s">
        <v>61</v>
      </c>
      <c r="C12" s="16"/>
      <c r="D12" s="16"/>
      <c r="E12" s="16"/>
      <c r="F12" s="16"/>
      <c r="G12" s="58">
        <f>+'Wheat Grain'!G27</f>
        <v>49.6</v>
      </c>
      <c r="I12" s="12" t="s">
        <v>61</v>
      </c>
      <c r="J12" s="16"/>
      <c r="K12" s="16"/>
      <c r="L12" s="16"/>
      <c r="M12" s="16"/>
      <c r="N12" s="58">
        <f>+'Wheat Dual  ~700Lb'!G24</f>
        <v>49.6</v>
      </c>
      <c r="O12" s="5"/>
      <c r="P12" s="12" t="s">
        <v>61</v>
      </c>
      <c r="Q12" s="16"/>
      <c r="R12" s="16"/>
      <c r="S12" s="16"/>
      <c r="T12" s="16"/>
      <c r="U12" s="58">
        <f>+'Wheat Dual ~800Lb'!G24</f>
        <v>31</v>
      </c>
      <c r="W12" s="83" t="s">
        <v>61</v>
      </c>
      <c r="X12" s="84"/>
      <c r="Y12" s="84"/>
      <c r="Z12" s="84"/>
      <c r="AA12" s="84"/>
      <c r="AB12" s="58">
        <f>+'Wheat Dual ~800Lb'!N19</f>
        <v>0</v>
      </c>
      <c r="AC12" s="19"/>
      <c r="AD12" s="83"/>
      <c r="AE12" s="84"/>
      <c r="AF12" s="84"/>
      <c r="AG12" s="84"/>
      <c r="AH12" s="84"/>
      <c r="AI12" s="58"/>
      <c r="AK12" s="83"/>
      <c r="AL12" s="84"/>
      <c r="AM12" s="84"/>
      <c r="AN12" s="84"/>
      <c r="AO12" s="84"/>
      <c r="AP12" s="58"/>
    </row>
    <row r="13" spans="2:43" x14ac:dyDescent="0.25">
      <c r="B13" s="41" t="s">
        <v>33</v>
      </c>
      <c r="C13" s="47"/>
      <c r="D13" s="47"/>
      <c r="E13" s="47"/>
      <c r="F13" s="47"/>
      <c r="G13" s="59">
        <f>+G11+G12</f>
        <v>245.69787499999998</v>
      </c>
      <c r="I13" s="41" t="s">
        <v>33</v>
      </c>
      <c r="J13" s="47"/>
      <c r="K13" s="47"/>
      <c r="L13" s="47"/>
      <c r="M13" s="47"/>
      <c r="N13" s="59">
        <f>+N11+N12</f>
        <v>270.54309499999999</v>
      </c>
      <c r="O13" s="6"/>
      <c r="P13" s="41" t="s">
        <v>33</v>
      </c>
      <c r="Q13" s="47"/>
      <c r="R13" s="47"/>
      <c r="S13" s="47"/>
      <c r="T13" s="47"/>
      <c r="U13" s="59">
        <f>+U11+U12</f>
        <v>251.943095</v>
      </c>
      <c r="W13" s="87" t="s">
        <v>33</v>
      </c>
      <c r="X13" s="88"/>
      <c r="Y13" s="88"/>
      <c r="Z13" s="88"/>
      <c r="AA13" s="88"/>
      <c r="AB13" s="89">
        <f>+AB11+AB12</f>
        <v>215.07374999999999</v>
      </c>
      <c r="AC13" s="19"/>
      <c r="AD13" s="87" t="s">
        <v>33</v>
      </c>
      <c r="AE13" s="88"/>
      <c r="AF13" s="88"/>
      <c r="AG13" s="88"/>
      <c r="AH13" s="88"/>
      <c r="AI13" s="89">
        <f>+AI11+AI12</f>
        <v>48.197906976744186</v>
      </c>
      <c r="AK13" s="87" t="s">
        <v>33</v>
      </c>
      <c r="AL13" s="88"/>
      <c r="AM13" s="88"/>
      <c r="AN13" s="88"/>
      <c r="AO13" s="88"/>
      <c r="AP13" s="89">
        <f>+AP11+AP12</f>
        <v>143.22687500000001</v>
      </c>
    </row>
    <row r="14" spans="2:43" x14ac:dyDescent="0.25">
      <c r="B14" s="12"/>
      <c r="C14" s="16"/>
      <c r="D14" s="16"/>
      <c r="E14" s="16"/>
      <c r="F14" s="16"/>
      <c r="G14" s="13"/>
      <c r="I14" s="12"/>
      <c r="J14" s="16"/>
      <c r="K14" s="16"/>
      <c r="L14" s="16"/>
      <c r="M14" s="16"/>
      <c r="N14" s="13"/>
      <c r="P14" s="12"/>
      <c r="Q14" s="16"/>
      <c r="R14" s="16"/>
      <c r="S14" s="16"/>
      <c r="T14" s="16"/>
      <c r="U14" s="13"/>
      <c r="W14" s="83"/>
      <c r="X14" s="84"/>
      <c r="Y14" s="84"/>
      <c r="Z14" s="84"/>
      <c r="AA14" s="84"/>
      <c r="AB14" s="86"/>
      <c r="AD14" s="83"/>
      <c r="AE14" s="84"/>
      <c r="AF14" s="84"/>
      <c r="AG14" s="84"/>
      <c r="AH14" s="84"/>
      <c r="AI14" s="86"/>
      <c r="AK14" s="83"/>
      <c r="AL14" s="84"/>
      <c r="AM14" s="84"/>
      <c r="AN14" s="84"/>
      <c r="AO14" s="84"/>
      <c r="AP14" s="86"/>
    </row>
    <row r="15" spans="2:43" x14ac:dyDescent="0.25">
      <c r="B15" s="42" t="s">
        <v>74</v>
      </c>
      <c r="C15" s="55"/>
      <c r="D15" s="55"/>
      <c r="E15" s="55"/>
      <c r="F15" s="55"/>
      <c r="G15" s="97">
        <f>+G9-G13</f>
        <v>134.30212500000002</v>
      </c>
      <c r="H15" s="3"/>
      <c r="I15" s="42" t="s">
        <v>74</v>
      </c>
      <c r="J15" s="55"/>
      <c r="K15" s="55"/>
      <c r="L15" s="55"/>
      <c r="M15" s="55"/>
      <c r="N15" s="77">
        <f>+N9-N13</f>
        <v>151.08190500000001</v>
      </c>
      <c r="O15" s="6"/>
      <c r="P15" s="42" t="s">
        <v>74</v>
      </c>
      <c r="Q15" s="55"/>
      <c r="R15" s="55"/>
      <c r="S15" s="55"/>
      <c r="T15" s="55"/>
      <c r="U15" s="97">
        <f>+U9-U13</f>
        <v>96.89065500000001</v>
      </c>
      <c r="W15" s="42" t="s">
        <v>74</v>
      </c>
      <c r="X15" s="55"/>
      <c r="Y15" s="55"/>
      <c r="Z15" s="55"/>
      <c r="AA15" s="55"/>
      <c r="AB15" s="97">
        <f>+AB9-AB13</f>
        <v>-14.225416666666632</v>
      </c>
      <c r="AD15" s="42" t="s">
        <v>74</v>
      </c>
      <c r="AE15" s="55"/>
      <c r="AF15" s="55"/>
      <c r="AG15" s="55"/>
      <c r="AH15" s="55"/>
      <c r="AI15" s="97">
        <f>+AI9-AI13</f>
        <v>123.80209302325582</v>
      </c>
      <c r="AK15" s="42" t="s">
        <v>74</v>
      </c>
      <c r="AL15" s="55"/>
      <c r="AM15" s="55"/>
      <c r="AN15" s="55"/>
      <c r="AO15" s="55"/>
      <c r="AP15" s="97">
        <f>+AP9-AP13</f>
        <v>53.273124999999993</v>
      </c>
    </row>
    <row r="16" spans="2:43" x14ac:dyDescent="0.25">
      <c r="B16" s="12"/>
      <c r="C16" s="16"/>
      <c r="D16" s="16"/>
      <c r="E16" s="16"/>
      <c r="F16" s="16"/>
      <c r="G16" s="13"/>
      <c r="I16" s="12"/>
      <c r="J16" s="16"/>
      <c r="K16" s="16"/>
      <c r="L16" s="16"/>
      <c r="M16" s="16"/>
      <c r="N16" s="13"/>
      <c r="P16" s="12"/>
      <c r="Q16" s="16"/>
      <c r="R16" s="16"/>
      <c r="S16" s="16"/>
      <c r="T16" s="16"/>
      <c r="U16" s="78"/>
      <c r="W16" s="83"/>
      <c r="X16" s="84"/>
      <c r="Y16" s="84"/>
      <c r="Z16" s="84"/>
      <c r="AA16" s="84"/>
      <c r="AB16" s="79"/>
      <c r="AD16" s="83"/>
      <c r="AE16" s="84"/>
      <c r="AF16" s="84"/>
      <c r="AG16" s="84"/>
      <c r="AH16" s="84"/>
      <c r="AI16" s="79"/>
      <c r="AK16" s="83"/>
      <c r="AL16" s="84"/>
      <c r="AM16" s="84"/>
      <c r="AN16" s="84"/>
      <c r="AO16" s="84"/>
      <c r="AP16" s="79"/>
    </row>
    <row r="17" spans="2:42" x14ac:dyDescent="0.25">
      <c r="B17" s="12" t="s">
        <v>62</v>
      </c>
      <c r="C17" s="16"/>
      <c r="D17" s="16"/>
      <c r="E17" s="16"/>
      <c r="F17" s="16"/>
      <c r="G17" s="58">
        <f>+'Wheat Grain'!G47</f>
        <v>64.67</v>
      </c>
      <c r="I17" s="12" t="s">
        <v>62</v>
      </c>
      <c r="J17" s="16"/>
      <c r="K17" s="16"/>
      <c r="L17" s="16"/>
      <c r="M17" s="16"/>
      <c r="N17" s="58">
        <f>+'Wheat Dual  ~700Lb'!G47</f>
        <v>64.67</v>
      </c>
      <c r="O17" s="5"/>
      <c r="P17" s="12" t="s">
        <v>62</v>
      </c>
      <c r="Q17" s="16"/>
      <c r="R17" s="16"/>
      <c r="S17" s="16"/>
      <c r="T17" s="16"/>
      <c r="U17" s="99">
        <f>+'Wheat Dual ~800Lb'!G47</f>
        <v>64.67</v>
      </c>
      <c r="W17" s="83" t="s">
        <v>62</v>
      </c>
      <c r="X17" s="84"/>
      <c r="Y17" s="84"/>
      <c r="Z17" s="84"/>
      <c r="AA17" s="84"/>
      <c r="AB17" s="99">
        <f>+'Wheat Graze Out'!G47</f>
        <v>44.94</v>
      </c>
      <c r="AD17" s="83" t="s">
        <v>62</v>
      </c>
      <c r="AE17" s="84"/>
      <c r="AF17" s="84"/>
      <c r="AG17" s="84"/>
      <c r="AH17" s="84"/>
      <c r="AI17" s="99">
        <f>+'Fescue Established'!G47</f>
        <v>83.122156250000003</v>
      </c>
      <c r="AK17" s="83" t="s">
        <v>62</v>
      </c>
      <c r="AL17" s="84"/>
      <c r="AM17" s="84"/>
      <c r="AN17" s="84"/>
      <c r="AO17" s="84"/>
      <c r="AP17" s="99">
        <f>+Triticale!G47</f>
        <v>44.94</v>
      </c>
    </row>
    <row r="18" spans="2:42" x14ac:dyDescent="0.25">
      <c r="B18" s="12"/>
      <c r="C18" s="16"/>
      <c r="D18" s="16"/>
      <c r="E18" s="16"/>
      <c r="F18" s="16"/>
      <c r="G18" s="54"/>
      <c r="I18" s="12"/>
      <c r="J18" s="16"/>
      <c r="K18" s="16"/>
      <c r="L18" s="16"/>
      <c r="M18" s="16"/>
      <c r="N18" s="54"/>
      <c r="P18" s="12"/>
      <c r="Q18" s="16"/>
      <c r="R18" s="16"/>
      <c r="S18" s="16"/>
      <c r="T18" s="16"/>
      <c r="U18" s="100"/>
      <c r="W18" s="83"/>
      <c r="X18" s="84"/>
      <c r="Y18" s="84"/>
      <c r="Z18" s="84"/>
      <c r="AA18" s="84"/>
      <c r="AB18" s="79"/>
      <c r="AD18" s="83"/>
      <c r="AE18" s="84"/>
      <c r="AF18" s="84"/>
      <c r="AG18" s="84"/>
      <c r="AH18" s="84"/>
      <c r="AI18" s="79"/>
      <c r="AK18" s="83"/>
      <c r="AL18" s="84"/>
      <c r="AM18" s="84"/>
      <c r="AN18" s="84"/>
      <c r="AO18" s="84"/>
      <c r="AP18" s="79"/>
    </row>
    <row r="19" spans="2:42" ht="15.75" thickBot="1" x14ac:dyDescent="0.3">
      <c r="B19" s="44" t="s">
        <v>73</v>
      </c>
      <c r="C19" s="56"/>
      <c r="D19" s="56"/>
      <c r="E19" s="56"/>
      <c r="F19" s="56"/>
      <c r="G19" s="98">
        <f>+G15-G17</f>
        <v>69.632125000000016</v>
      </c>
      <c r="I19" s="44" t="s">
        <v>73</v>
      </c>
      <c r="J19" s="56"/>
      <c r="K19" s="56"/>
      <c r="L19" s="56"/>
      <c r="M19" s="56"/>
      <c r="N19" s="98">
        <f>+N15-N17</f>
        <v>86.411905000000004</v>
      </c>
      <c r="O19" s="5"/>
      <c r="P19" s="44" t="s">
        <v>73</v>
      </c>
      <c r="Q19" s="56"/>
      <c r="R19" s="56"/>
      <c r="S19" s="56"/>
      <c r="T19" s="56"/>
      <c r="U19" s="98">
        <f>+U15-U17</f>
        <v>32.220655000000008</v>
      </c>
      <c r="W19" s="44" t="s">
        <v>73</v>
      </c>
      <c r="X19" s="56"/>
      <c r="Y19" s="56"/>
      <c r="Z19" s="56"/>
      <c r="AA19" s="56"/>
      <c r="AB19" s="82">
        <f>+AB15-AB17</f>
        <v>-59.16541666666663</v>
      </c>
      <c r="AD19" s="44" t="s">
        <v>73</v>
      </c>
      <c r="AE19" s="56"/>
      <c r="AF19" s="56"/>
      <c r="AG19" s="56"/>
      <c r="AH19" s="56"/>
      <c r="AI19" s="98">
        <f>+AI15-AI17</f>
        <v>40.679936773255818</v>
      </c>
      <c r="AK19" s="44" t="s">
        <v>73</v>
      </c>
      <c r="AL19" s="56"/>
      <c r="AM19" s="56"/>
      <c r="AN19" s="56"/>
      <c r="AO19" s="56"/>
      <c r="AP19" s="98">
        <f>+AP15-AP17</f>
        <v>8.3331249999999955</v>
      </c>
    </row>
    <row r="20" spans="2:42" x14ac:dyDescent="0.25">
      <c r="U20" s="94"/>
    </row>
    <row r="21" spans="2:42" ht="4.9000000000000004" customHeight="1" thickBot="1" x14ac:dyDescent="0.3"/>
    <row r="22" spans="2:42" ht="16.5" thickTop="1" thickBot="1" x14ac:dyDescent="0.3">
      <c r="B22" s="352" t="s">
        <v>117</v>
      </c>
      <c r="C22" s="353"/>
      <c r="D22" s="353"/>
      <c r="E22" s="353"/>
      <c r="F22" s="353"/>
      <c r="G22" s="354"/>
      <c r="I22" s="352" t="s">
        <v>117</v>
      </c>
      <c r="J22" s="353"/>
      <c r="K22" s="353"/>
      <c r="L22" s="353"/>
      <c r="M22" s="353"/>
      <c r="N22" s="354"/>
      <c r="P22" s="352" t="s">
        <v>117</v>
      </c>
      <c r="Q22" s="353"/>
      <c r="R22" s="353"/>
      <c r="S22" s="353"/>
      <c r="T22" s="353"/>
      <c r="U22" s="354"/>
      <c r="W22" s="352" t="s">
        <v>117</v>
      </c>
      <c r="X22" s="353"/>
      <c r="Y22" s="353"/>
      <c r="Z22" s="353"/>
      <c r="AA22" s="353"/>
      <c r="AB22" s="354"/>
      <c r="AD22" s="352" t="s">
        <v>117</v>
      </c>
      <c r="AE22" s="353"/>
      <c r="AF22" s="353"/>
      <c r="AG22" s="353"/>
      <c r="AH22" s="353"/>
      <c r="AI22" s="354"/>
      <c r="AK22" s="352" t="s">
        <v>117</v>
      </c>
      <c r="AL22" s="353"/>
      <c r="AM22" s="353"/>
      <c r="AN22" s="353"/>
      <c r="AO22" s="353"/>
      <c r="AP22" s="354"/>
    </row>
    <row r="23" spans="2:42" ht="15.75" thickTop="1" x14ac:dyDescent="0.25">
      <c r="B23" s="60" t="s">
        <v>58</v>
      </c>
      <c r="C23" s="361" t="s">
        <v>114</v>
      </c>
      <c r="D23" s="362"/>
      <c r="E23" s="362" t="s">
        <v>60</v>
      </c>
      <c r="F23" s="362"/>
      <c r="G23" s="363"/>
      <c r="I23" s="60" t="s">
        <v>58</v>
      </c>
      <c r="J23" s="107" t="s">
        <v>114</v>
      </c>
      <c r="K23" s="108"/>
      <c r="L23" s="108" t="s">
        <v>60</v>
      </c>
      <c r="M23" s="108"/>
      <c r="N23" s="109"/>
      <c r="O23" s="7"/>
      <c r="P23" s="60" t="s">
        <v>58</v>
      </c>
      <c r="Q23" s="107" t="s">
        <v>114</v>
      </c>
      <c r="R23" s="108"/>
      <c r="S23" s="108" t="s">
        <v>60</v>
      </c>
      <c r="T23" s="108"/>
      <c r="U23" s="109"/>
      <c r="W23" s="60" t="s">
        <v>109</v>
      </c>
      <c r="X23" s="361" t="s">
        <v>107</v>
      </c>
      <c r="Y23" s="362"/>
      <c r="Z23" s="362"/>
      <c r="AA23" s="362"/>
      <c r="AB23" s="363"/>
      <c r="AD23" s="60" t="s">
        <v>109</v>
      </c>
      <c r="AE23" s="361" t="s">
        <v>107</v>
      </c>
      <c r="AF23" s="362"/>
      <c r="AG23" s="362"/>
      <c r="AH23" s="362"/>
      <c r="AI23" s="363"/>
      <c r="AK23" s="60" t="s">
        <v>109</v>
      </c>
      <c r="AL23" s="361" t="s">
        <v>107</v>
      </c>
      <c r="AM23" s="362"/>
      <c r="AN23" s="362"/>
      <c r="AO23" s="362"/>
      <c r="AP23" s="363"/>
    </row>
    <row r="24" spans="2:42" ht="15.75" thickBot="1" x14ac:dyDescent="0.3">
      <c r="B24" s="61"/>
      <c r="C24" s="74">
        <f>+E24*0.9</f>
        <v>8.5500000000000007</v>
      </c>
      <c r="D24" s="75">
        <f>+E24*0.95</f>
        <v>9.0250000000000004</v>
      </c>
      <c r="E24" s="80">
        <f>+G5</f>
        <v>9.5</v>
      </c>
      <c r="F24" s="75">
        <f>+E24*1.05</f>
        <v>9.9749999999999996</v>
      </c>
      <c r="G24" s="76">
        <f>+E24*1.1</f>
        <v>10.450000000000001</v>
      </c>
      <c r="I24" s="61"/>
      <c r="J24" s="74">
        <f>+L24*0.9</f>
        <v>8.5500000000000007</v>
      </c>
      <c r="K24" s="75">
        <f>+L24*0.95</f>
        <v>9.0250000000000004</v>
      </c>
      <c r="L24" s="80">
        <f>+N5</f>
        <v>9.5</v>
      </c>
      <c r="M24" s="75">
        <f>+L24*1.05</f>
        <v>9.9749999999999996</v>
      </c>
      <c r="N24" s="76">
        <f>+L24*1.1</f>
        <v>10.450000000000001</v>
      </c>
      <c r="O24" s="9"/>
      <c r="P24" s="61"/>
      <c r="Q24" s="74">
        <f>+S24*0.9</f>
        <v>8.5500000000000007</v>
      </c>
      <c r="R24" s="75">
        <f>+S24*0.95</f>
        <v>9.0250000000000004</v>
      </c>
      <c r="S24" s="80">
        <f>+U5</f>
        <v>9.5</v>
      </c>
      <c r="T24" s="75">
        <f>+S24*1.05</f>
        <v>9.9749999999999996</v>
      </c>
      <c r="U24" s="76">
        <f>+S24*1.1</f>
        <v>10.450000000000001</v>
      </c>
      <c r="W24" s="61" t="s">
        <v>8</v>
      </c>
      <c r="X24" s="74">
        <f>+Z24*0.8</f>
        <v>0.52</v>
      </c>
      <c r="Y24" s="75">
        <f>+Z24*0.9</f>
        <v>0.58500000000000008</v>
      </c>
      <c r="Z24" s="80">
        <f>+'Wheat Graze Out'!N5</f>
        <v>0.65</v>
      </c>
      <c r="AA24" s="75">
        <v>0.7</v>
      </c>
      <c r="AB24" s="76">
        <v>0.8</v>
      </c>
      <c r="AD24" s="61" t="s">
        <v>8</v>
      </c>
      <c r="AE24" s="74">
        <v>0.4</v>
      </c>
      <c r="AF24" s="75">
        <v>0.5</v>
      </c>
      <c r="AG24" s="90">
        <f>+Z24</f>
        <v>0.65</v>
      </c>
      <c r="AH24" s="75">
        <v>0.7</v>
      </c>
      <c r="AI24" s="76">
        <v>0.8</v>
      </c>
      <c r="AK24" s="61" t="s">
        <v>8</v>
      </c>
      <c r="AL24" s="74">
        <v>0.45</v>
      </c>
      <c r="AM24" s="75">
        <v>0.5</v>
      </c>
      <c r="AN24" s="90">
        <v>0.55000000000000004</v>
      </c>
      <c r="AO24" s="75">
        <v>0.6</v>
      </c>
      <c r="AP24" s="76">
        <v>0.65</v>
      </c>
    </row>
    <row r="25" spans="2:42" ht="15.75" thickTop="1" x14ac:dyDescent="0.25">
      <c r="B25" s="62">
        <f>+B27*0.8</f>
        <v>32</v>
      </c>
      <c r="C25" s="63">
        <f t="shared" ref="C25:G29" si="0">+(C$24*$B25-$G$13-$G$17)</f>
        <v>-36.767874999999961</v>
      </c>
      <c r="D25" s="64">
        <f t="shared" si="0"/>
        <v>-21.567874999999972</v>
      </c>
      <c r="E25" s="64">
        <f t="shared" si="0"/>
        <v>-6.3678749999999837</v>
      </c>
      <c r="F25" s="64">
        <f t="shared" si="0"/>
        <v>8.8321250000000049</v>
      </c>
      <c r="G25" s="65">
        <f t="shared" si="0"/>
        <v>24.03212500000005</v>
      </c>
      <c r="I25" s="62">
        <f>+I27*0.8</f>
        <v>28</v>
      </c>
      <c r="J25" s="63">
        <f t="shared" ref="J25:N29" si="1">+(J$24*$I25+$N$8-$N$13-$N$17)</f>
        <v>-6.6880949999999615</v>
      </c>
      <c r="K25" s="64">
        <f t="shared" si="1"/>
        <v>6.6119050000000499</v>
      </c>
      <c r="L25" s="64">
        <f t="shared" si="1"/>
        <v>19.911905000000004</v>
      </c>
      <c r="M25" s="64">
        <f t="shared" si="1"/>
        <v>33.211905000000016</v>
      </c>
      <c r="N25" s="65">
        <f t="shared" si="1"/>
        <v>46.511905000000027</v>
      </c>
      <c r="P25" s="62">
        <f>+P27*0.8</f>
        <v>28</v>
      </c>
      <c r="Q25" s="63">
        <f t="shared" ref="Q25:U29" si="2">+(Q$24*$P25*$U$6+$U$8-$U$13-$U$17)</f>
        <v>-25.966844999999992</v>
      </c>
      <c r="R25" s="64">
        <f t="shared" si="2"/>
        <v>-17.654344999999992</v>
      </c>
      <c r="S25" s="64">
        <f t="shared" si="2"/>
        <v>-9.3418449999999922</v>
      </c>
      <c r="T25" s="64">
        <f t="shared" si="2"/>
        <v>-1.0293449999999922</v>
      </c>
      <c r="U25" s="65">
        <f t="shared" si="2"/>
        <v>7.2831550000000078</v>
      </c>
      <c r="W25" s="62">
        <f>+W27*0.9</f>
        <v>206.79000000000002</v>
      </c>
      <c r="X25" s="63">
        <f>+$W25*X$24-$AB$13+'Wheat Dual ~800Lb'!L$38-$AB$17</f>
        <v>-82.482949999999974</v>
      </c>
      <c r="Y25" s="64">
        <f>+$W25*Y$24-$AB$13+'Wheat Dual ~800Lb'!M$38-$AB$17</f>
        <v>-78.54159999999996</v>
      </c>
      <c r="Z25" s="64">
        <f>+$W25*Z$24-$AB$13+'Wheat Dual ~800Lb'!N$38-$AB$17</f>
        <v>-74.10024999999996</v>
      </c>
      <c r="AA25" s="64">
        <f>+$W25*AA$24-$AB$13+'Wheat Dual ~800Lb'!O$38-$AB$17</f>
        <v>-88.760749999999973</v>
      </c>
      <c r="AB25" s="65">
        <f>+$W25*AB$24-$AB$13+'Wheat Dual ~800Lb'!P$38-$AB$17</f>
        <v>-84.581749999999971</v>
      </c>
      <c r="AD25" s="62">
        <f>+AD27*0.9</f>
        <v>189.94474719101123</v>
      </c>
      <c r="AE25" s="63">
        <f>+$AD25*AE$24-$AI$13+'Wheat Dual ~800Lb'!L$38-$AI$17</f>
        <v>14.657835649660299</v>
      </c>
      <c r="AF25" s="64">
        <f>+$AD25*AF$24-$AI$13+'Wheat Dual ~800Lb'!M$38-$AI$17</f>
        <v>24.152310368761434</v>
      </c>
      <c r="AG25" s="64">
        <f>+$AD25*AG$24-$AI$13+'Wheat Dual ~800Lb'!N$38-$AI$17</f>
        <v>43.644022447413121</v>
      </c>
      <c r="AH25" s="64">
        <f>+$AD25*AH$24-$AI$13+'Wheat Dual ~800Lb'!O$38-$AI$17</f>
        <v>28.141259806963674</v>
      </c>
      <c r="AI25" s="65">
        <f>+$AD25*AI$24-$AI$13+'Wheat Dual ~800Lb'!P$38-$AI$17</f>
        <v>30.635734526064809</v>
      </c>
      <c r="AK25" s="62">
        <f>+AK27*0.9</f>
        <v>236.50006908679811</v>
      </c>
      <c r="AL25" s="63">
        <f>+$AK25*AL$24-$AP$13+'Wheat Dual ~800Lb'!L$38-$AP$17</f>
        <v>-11.741843910940858</v>
      </c>
      <c r="AM25" s="64">
        <f>+$AK25*AM$24-$AP$13+'Wheat Dual ~800Lb'!M$38-$AP$17</f>
        <v>-9.4168404566009514</v>
      </c>
      <c r="AN25" s="64">
        <f>+$AK25*AN$24-$AP$13+'Wheat Dual ~800Lb'!N$38-$AP$17</f>
        <v>-6.5918370022610304</v>
      </c>
      <c r="AO25" s="64">
        <f>+$AK25*AO$24-$AP$13+'Wheat Dual ~800Lb'!O$38-$AP$17</f>
        <v>-19.766833547921152</v>
      </c>
      <c r="AP25" s="65">
        <f>+$AK25*AP$24-$AP$13+'Wheat Dual ~800Lb'!P$38-$AP$17</f>
        <v>-24.441830093581217</v>
      </c>
    </row>
    <row r="26" spans="2:42" ht="15.75" thickBot="1" x14ac:dyDescent="0.3">
      <c r="B26" s="66">
        <f>+B27*0.9</f>
        <v>36</v>
      </c>
      <c r="C26" s="67">
        <f t="shared" si="0"/>
        <v>-2.5678749999999724</v>
      </c>
      <c r="D26" s="68">
        <f t="shared" si="0"/>
        <v>14.53212500000005</v>
      </c>
      <c r="E26" s="135">
        <f t="shared" si="0"/>
        <v>31.632125000000016</v>
      </c>
      <c r="F26" s="68">
        <f t="shared" si="0"/>
        <v>48.732124999999982</v>
      </c>
      <c r="G26" s="69">
        <f t="shared" si="0"/>
        <v>65.832125000000062</v>
      </c>
      <c r="I26" s="66">
        <f>+I27*0.9</f>
        <v>31.5</v>
      </c>
      <c r="J26" s="67">
        <f t="shared" si="1"/>
        <v>23.23690500000005</v>
      </c>
      <c r="K26" s="68">
        <f t="shared" si="1"/>
        <v>38.199405000000027</v>
      </c>
      <c r="L26" s="135">
        <f t="shared" si="1"/>
        <v>53.161905000000004</v>
      </c>
      <c r="M26" s="68">
        <f t="shared" si="1"/>
        <v>68.124404999999982</v>
      </c>
      <c r="N26" s="69">
        <f t="shared" si="1"/>
        <v>83.086905000000016</v>
      </c>
      <c r="P26" s="66">
        <f>+P27*0.9</f>
        <v>31.5</v>
      </c>
      <c r="Q26" s="67">
        <f t="shared" si="2"/>
        <v>-7.2637199999999922</v>
      </c>
      <c r="R26" s="68">
        <f t="shared" si="2"/>
        <v>2.0878425000000078</v>
      </c>
      <c r="S26" s="135">
        <f t="shared" si="2"/>
        <v>11.439405000000008</v>
      </c>
      <c r="T26" s="68">
        <f t="shared" si="2"/>
        <v>20.790967500000008</v>
      </c>
      <c r="U26" s="69">
        <f t="shared" si="2"/>
        <v>30.142530000000008</v>
      </c>
      <c r="W26" s="66">
        <f>+W27*0.95</f>
        <v>218.27833333333334</v>
      </c>
      <c r="X26" s="67">
        <f>+$W26*X$24-$AB$13+'Wheat Dual ~800Lb'!L$38-$AB$17</f>
        <v>-76.509016666666653</v>
      </c>
      <c r="Y26" s="68">
        <f>+$W26*Y$24-$AB$13+'Wheat Dual ~800Lb'!M$38-$AB$17</f>
        <v>-71.820924999999974</v>
      </c>
      <c r="Z26" s="135">
        <f>+$W26*Z$24-$AB$13+'Wheat Dual ~800Lb'!N$38-$AB$17</f>
        <v>-66.632833333333309</v>
      </c>
      <c r="AA26" s="68">
        <f>+$W26*AA$24-$AB$13+'Wheat Dual ~800Lb'!O$38-$AB$17</f>
        <v>-80.718916666666672</v>
      </c>
      <c r="AB26" s="69">
        <f>+$W26*AB$24-$AB$13+'Wheat Dual ~800Lb'!P$38-$AB$17</f>
        <v>-75.391083333333313</v>
      </c>
      <c r="AD26" s="66">
        <f>+AD27*0.95</f>
        <v>200.4972331460674</v>
      </c>
      <c r="AE26" s="67">
        <f>+$AD26*AE$24-$AI$13+'Wheat Dual ~800Lb'!L$38-$AI$17</f>
        <v>18.878830031682767</v>
      </c>
      <c r="AF26" s="68">
        <f>+$AD26*AF$24-$AI$13+'Wheat Dual ~800Lb'!M$38-$AI$17</f>
        <v>29.428553346289519</v>
      </c>
      <c r="AG26" s="135">
        <f>+$AD26*AG$24-$AI$13+'Wheat Dual ~800Lb'!N$38-$AI$17</f>
        <v>50.503138318199646</v>
      </c>
      <c r="AH26" s="68">
        <f>+$AD26*AH$24-$AI$13+'Wheat Dual ~800Lb'!O$38-$AI$17</f>
        <v>35.527999975502993</v>
      </c>
      <c r="AI26" s="69">
        <f>+$AD26*AI$24-$AI$13+'Wheat Dual ~800Lb'!P$38-$AI$17</f>
        <v>39.077723290109745</v>
      </c>
      <c r="AK26" s="66">
        <f>+AK27*0.95</f>
        <v>249.63896181384243</v>
      </c>
      <c r="AL26" s="67">
        <f>+$AK26*AL$24-$AP$13+'Wheat Dual ~800Lb'!L$38-$AP$17</f>
        <v>-5.8293421837709047</v>
      </c>
      <c r="AM26" s="68">
        <f>+$AK26*AM$24-$AP$13+'Wheat Dual ~800Lb'!M$38-$AP$17</f>
        <v>-2.8473940930787904</v>
      </c>
      <c r="AN26" s="135">
        <f>+$AK26*AN$24-$AP$13+'Wheat Dual ~800Lb'!N$38-$AP$17</f>
        <v>0.63455399761335229</v>
      </c>
      <c r="AO26" s="68">
        <f>+$AK26*AO$24-$AP$13+'Wheat Dual ~800Lb'!O$38-$AP$17</f>
        <v>-11.883497911694548</v>
      </c>
      <c r="AP26" s="69">
        <f>+$AK26*AP$24-$AP$13+'Wheat Dual ~800Lb'!P$38-$AP$17</f>
        <v>-15.901549821002419</v>
      </c>
    </row>
    <row r="27" spans="2:42" ht="15.75" thickBot="1" x14ac:dyDescent="0.3">
      <c r="B27" s="81">
        <f>+G3</f>
        <v>40</v>
      </c>
      <c r="C27" s="67">
        <f t="shared" si="0"/>
        <v>31.632125000000016</v>
      </c>
      <c r="D27" s="133">
        <f t="shared" si="0"/>
        <v>50.632125000000016</v>
      </c>
      <c r="E27" s="137">
        <f t="shared" si="0"/>
        <v>69.632125000000016</v>
      </c>
      <c r="F27" s="134">
        <f t="shared" si="0"/>
        <v>88.632125000000016</v>
      </c>
      <c r="G27" s="69">
        <f t="shared" si="0"/>
        <v>107.63212500000007</v>
      </c>
      <c r="I27" s="81">
        <f>+N3</f>
        <v>35</v>
      </c>
      <c r="J27" s="67">
        <f t="shared" si="1"/>
        <v>53.161905000000004</v>
      </c>
      <c r="K27" s="133">
        <f t="shared" si="1"/>
        <v>69.786905000000004</v>
      </c>
      <c r="L27" s="137">
        <f t="shared" si="1"/>
        <v>86.411905000000004</v>
      </c>
      <c r="M27" s="134">
        <f t="shared" si="1"/>
        <v>103.036905</v>
      </c>
      <c r="N27" s="69">
        <f t="shared" si="1"/>
        <v>119.66190500000006</v>
      </c>
      <c r="P27" s="81">
        <f>+U3</f>
        <v>35</v>
      </c>
      <c r="Q27" s="67">
        <f t="shared" si="2"/>
        <v>11.439405000000008</v>
      </c>
      <c r="R27" s="133">
        <f t="shared" si="2"/>
        <v>21.830030000000008</v>
      </c>
      <c r="S27" s="137">
        <f t="shared" si="2"/>
        <v>32.220655000000008</v>
      </c>
      <c r="T27" s="134">
        <f t="shared" si="2"/>
        <v>42.611280000000008</v>
      </c>
      <c r="U27" s="69">
        <f t="shared" si="2"/>
        <v>53.001905000000008</v>
      </c>
      <c r="W27" s="81">
        <f>+AB4</f>
        <v>229.76666666666668</v>
      </c>
      <c r="X27" s="67">
        <f>+$W27*X$24-$AB$13+'Wheat Dual ~800Lb'!L$38-$AB$17</f>
        <v>-70.535083333333304</v>
      </c>
      <c r="Y27" s="133">
        <f>+$W27*Y$24-$AB$13+'Wheat Dual ~800Lb'!M$38-$AB$17</f>
        <v>-65.10024999999996</v>
      </c>
      <c r="Z27" s="137">
        <f>+$W27*Z$24-$AB$13+'Wheat Dual ~800Lb'!N$38-$AB$17</f>
        <v>-59.16541666666663</v>
      </c>
      <c r="AA27" s="134">
        <f>+$W27*AA$24-$AB$13+'Wheat Dual ~800Lb'!O$38-$AB$17</f>
        <v>-72.677083333333314</v>
      </c>
      <c r="AB27" s="69">
        <f>+$W27*AB$24-$AB$13+'Wheat Dual ~800Lb'!P$38-$AB$17</f>
        <v>-66.200416666666626</v>
      </c>
      <c r="AD27" s="81">
        <f>+AI4</f>
        <v>211.0497191011236</v>
      </c>
      <c r="AE27" s="67">
        <f>+$AD27*AE$24-$AI$13+'Wheat Dual ~800Lb'!L$38-$AI$17</f>
        <v>23.099824413705264</v>
      </c>
      <c r="AF27" s="133">
        <f>+$AD27*AF$24-$AI$13+'Wheat Dual ~800Lb'!M$38-$AI$17</f>
        <v>34.704796323817604</v>
      </c>
      <c r="AG27" s="137">
        <f>+$AD27*AG$24-$AI$13+'Wheat Dual ~800Lb'!N$38-$AI$17</f>
        <v>57.362254188986171</v>
      </c>
      <c r="AH27" s="134">
        <f>+$AD27*AH$24-$AI$13+'Wheat Dual ~800Lb'!O$38-$AI$17</f>
        <v>42.914740144042341</v>
      </c>
      <c r="AI27" s="69">
        <f>+$AD27*AI$24-$AI$13+'Wheat Dual ~800Lb'!P$38-$AI$17</f>
        <v>47.519712054154709</v>
      </c>
      <c r="AK27" s="81">
        <f>+AP4</f>
        <v>262.77785454088678</v>
      </c>
      <c r="AL27" s="67">
        <f>+$AK27*AL$24-$AP$13+'Wheat Dual ~800Lb'!L$38-$AP$17</f>
        <v>8.315954339904863E-2</v>
      </c>
      <c r="AM27" s="133">
        <f>+$AK27*AM$24-$AP$13+'Wheat Dual ~800Lb'!M$38-$AP$17</f>
        <v>3.7220522704433847</v>
      </c>
      <c r="AN27" s="137">
        <f>+$AK27*AN$24-$AP$13+'Wheat Dual ~800Lb'!N$38-$AP$17</f>
        <v>7.860944997487735</v>
      </c>
      <c r="AO27" s="134">
        <f>+$AK27*AO$24-$AP$13+'Wheat Dual ~800Lb'!O$38-$AP$17</f>
        <v>-4.0001622754679431</v>
      </c>
      <c r="AP27" s="69">
        <f>+$AK27*AP$24-$AP$13+'Wheat Dual ~800Lb'!P$38-$AP$17</f>
        <v>-7.3612695484235928</v>
      </c>
    </row>
    <row r="28" spans="2:42" x14ac:dyDescent="0.25">
      <c r="B28" s="66">
        <f>+B27*1.1</f>
        <v>44</v>
      </c>
      <c r="C28" s="67">
        <f t="shared" si="0"/>
        <v>65.832125000000062</v>
      </c>
      <c r="D28" s="68">
        <f t="shared" si="0"/>
        <v>86.732125000000039</v>
      </c>
      <c r="E28" s="136">
        <f t="shared" si="0"/>
        <v>107.63212500000002</v>
      </c>
      <c r="F28" s="68">
        <f t="shared" si="0"/>
        <v>128.53212500000001</v>
      </c>
      <c r="G28" s="69">
        <f t="shared" si="0"/>
        <v>149.4321250000001</v>
      </c>
      <c r="I28" s="66">
        <f>+I27*1.1</f>
        <v>38.5</v>
      </c>
      <c r="J28" s="67">
        <f t="shared" si="1"/>
        <v>83.086905000000016</v>
      </c>
      <c r="K28" s="68">
        <f t="shared" si="1"/>
        <v>101.37440500000004</v>
      </c>
      <c r="L28" s="136">
        <f t="shared" si="1"/>
        <v>119.661905</v>
      </c>
      <c r="M28" s="68">
        <f t="shared" si="1"/>
        <v>137.94940499999996</v>
      </c>
      <c r="N28" s="69">
        <f t="shared" si="1"/>
        <v>156.23690500000004</v>
      </c>
      <c r="P28" s="66">
        <f>+P27*1.1</f>
        <v>38.5</v>
      </c>
      <c r="Q28" s="67">
        <f t="shared" si="2"/>
        <v>30.142530000000008</v>
      </c>
      <c r="R28" s="68">
        <f t="shared" si="2"/>
        <v>41.572217500000008</v>
      </c>
      <c r="S28" s="136">
        <f t="shared" si="2"/>
        <v>53.001905000000008</v>
      </c>
      <c r="T28" s="68">
        <f t="shared" si="2"/>
        <v>64.431592500000008</v>
      </c>
      <c r="U28" s="69">
        <f t="shared" si="2"/>
        <v>75.861280000000008</v>
      </c>
      <c r="W28" s="66">
        <f>+W27*1.05</f>
        <v>241.25500000000002</v>
      </c>
      <c r="X28" s="67">
        <f>+$W28*X$24-$AB$13+'Wheat Dual ~800Lb'!L$38-$AB$17</f>
        <v>-64.561149999999969</v>
      </c>
      <c r="Y28" s="68">
        <f>+$W28*Y$24-$AB$13+'Wheat Dual ~800Lb'!M$38-$AB$17</f>
        <v>-58.37957499999996</v>
      </c>
      <c r="Z28" s="136">
        <f>+$W28*Z$24-$AB$13+'Wheat Dual ~800Lb'!N$38-$AB$17</f>
        <v>-51.697999999999979</v>
      </c>
      <c r="AA28" s="68">
        <f>+$W28*AA$24-$AB$13+'Wheat Dual ~800Lb'!O$38-$AB$17</f>
        <v>-64.635249999999985</v>
      </c>
      <c r="AB28" s="69">
        <f>+$W28*AB$24-$AB$13+'Wheat Dual ~800Lb'!P$38-$AB$17</f>
        <v>-57.009749999999968</v>
      </c>
      <c r="AD28" s="66">
        <f>+AD27*1.05</f>
        <v>221.6022050561798</v>
      </c>
      <c r="AE28" s="67">
        <f>+$AD28*AE$24-$AI$13+'Wheat Dual ~800Lb'!L$38-$AI$17</f>
        <v>27.320818795727732</v>
      </c>
      <c r="AF28" s="68">
        <f>+$AD28*AF$24-$AI$13+'Wheat Dual ~800Lb'!M$38-$AI$17</f>
        <v>39.981039301345717</v>
      </c>
      <c r="AG28" s="136">
        <f>+$AD28*AG$24-$AI$13+'Wheat Dual ~800Lb'!N$38-$AI$17</f>
        <v>64.221370059772696</v>
      </c>
      <c r="AH28" s="68">
        <f>+$AD28*AH$24-$AI$13+'Wheat Dual ~800Lb'!O$38-$AI$17</f>
        <v>50.30148031258166</v>
      </c>
      <c r="AI28" s="69">
        <f>+$AD28*AI$24-$AI$13+'Wheat Dual ~800Lb'!P$38-$AI$17</f>
        <v>55.961700818199674</v>
      </c>
      <c r="AK28" s="66">
        <f>+AK27*1.05</f>
        <v>275.91674726793116</v>
      </c>
      <c r="AL28" s="67">
        <f>+$AK28*AL$24-$AP$13+'Wheat Dual ~800Lb'!L$38-$AP$17</f>
        <v>5.9956612705690162</v>
      </c>
      <c r="AM28" s="68">
        <f>+$AK28*AM$24-$AP$13+'Wheat Dual ~800Lb'!M$38-$AP$17</f>
        <v>10.291498633965574</v>
      </c>
      <c r="AN28" s="136">
        <f>+$AK28*AN$24-$AP$13+'Wheat Dual ~800Lb'!N$38-$AP$17</f>
        <v>15.087335997362146</v>
      </c>
      <c r="AO28" s="68">
        <f>+$AK28*AO$24-$AP$13+'Wheat Dual ~800Lb'!O$38-$AP$17</f>
        <v>3.8831733607586898</v>
      </c>
      <c r="AP28" s="69">
        <f>+$AK28*AP$24-$AP$13+'Wheat Dual ~800Lb'!P$38-$AP$17</f>
        <v>1.1790107241552619</v>
      </c>
    </row>
    <row r="29" spans="2:42" ht="15.75" thickBot="1" x14ac:dyDescent="0.3">
      <c r="B29" s="70">
        <f>+B27*1.2</f>
        <v>48</v>
      </c>
      <c r="C29" s="71">
        <f t="shared" si="0"/>
        <v>100.03212500000005</v>
      </c>
      <c r="D29" s="72">
        <f t="shared" si="0"/>
        <v>122.83212500000006</v>
      </c>
      <c r="E29" s="72">
        <f t="shared" si="0"/>
        <v>145.63212500000003</v>
      </c>
      <c r="F29" s="72">
        <f t="shared" si="0"/>
        <v>168.43212499999998</v>
      </c>
      <c r="G29" s="73">
        <f t="shared" si="0"/>
        <v>191.23212500000005</v>
      </c>
      <c r="I29" s="70">
        <f>+I27*1.2</f>
        <v>42</v>
      </c>
      <c r="J29" s="71">
        <f t="shared" si="1"/>
        <v>113.01190500000003</v>
      </c>
      <c r="K29" s="72">
        <f t="shared" si="1"/>
        <v>132.961905</v>
      </c>
      <c r="L29" s="72">
        <f t="shared" si="1"/>
        <v>152.91190499999999</v>
      </c>
      <c r="M29" s="72">
        <f t="shared" si="1"/>
        <v>172.86190499999998</v>
      </c>
      <c r="N29" s="73">
        <f t="shared" si="1"/>
        <v>192.81190500000008</v>
      </c>
      <c r="P29" s="70">
        <f>+P27*1.2</f>
        <v>42</v>
      </c>
      <c r="Q29" s="71">
        <f t="shared" si="2"/>
        <v>48.845655000000008</v>
      </c>
      <c r="R29" s="72">
        <f t="shared" si="2"/>
        <v>61.314405000000008</v>
      </c>
      <c r="S29" s="72">
        <f t="shared" si="2"/>
        <v>73.783155000000008</v>
      </c>
      <c r="T29" s="72">
        <f t="shared" si="2"/>
        <v>86.251905000000008</v>
      </c>
      <c r="U29" s="73">
        <f t="shared" si="2"/>
        <v>98.720655000000008</v>
      </c>
      <c r="W29" s="70">
        <f>+W28*1.1</f>
        <v>265.38050000000004</v>
      </c>
      <c r="X29" s="71">
        <f>+$W29*X$24-$AB$13+'Wheat Dual ~800Lb'!L$38-$AB$17</f>
        <v>-52.015889999999956</v>
      </c>
      <c r="Y29" s="72">
        <f>+$W29*Y$24-$AB$13+'Wheat Dual ~800Lb'!M$38-$AB$17</f>
        <v>-44.266157499999935</v>
      </c>
      <c r="Z29" s="72">
        <f>+$W29*Z$24-$AB$13+'Wheat Dual ~800Lb'!N$38-$AB$17</f>
        <v>-36.016424999999941</v>
      </c>
      <c r="AA29" s="72">
        <f>+$W29*AA$24-$AB$13+'Wheat Dual ~800Lb'!O$38-$AB$17</f>
        <v>-47.747399999999971</v>
      </c>
      <c r="AB29" s="73">
        <f>+$W29*AB$24-$AB$13+'Wheat Dual ~800Lb'!P$38-$AB$17</f>
        <v>-37.709349999999944</v>
      </c>
      <c r="AD29" s="70">
        <f>+AD28*1.1</f>
        <v>243.76242556179778</v>
      </c>
      <c r="AE29" s="71">
        <f>+$AD29*AE$24-$AI$13+'Wheat Dual ~800Lb'!L$38-$AI$17</f>
        <v>36.18490699797492</v>
      </c>
      <c r="AF29" s="72">
        <f>+$AD29*AF$24-$AI$13+'Wheat Dual ~800Lb'!M$38-$AI$17</f>
        <v>51.06114955415471</v>
      </c>
      <c r="AG29" s="72">
        <f>+$AD29*AG$24-$AI$13+'Wheat Dual ~800Lb'!N$38-$AI$17</f>
        <v>78.62551338842438</v>
      </c>
      <c r="AH29" s="72">
        <f>+$AD29*AH$24-$AI$13+'Wheat Dual ~800Lb'!O$38-$AI$17</f>
        <v>65.813634666514261</v>
      </c>
      <c r="AI29" s="73">
        <f>+$AD29*AI$24-$AI$13+'Wheat Dual ~800Lb'!P$38-$AI$17</f>
        <v>73.689877222694051</v>
      </c>
      <c r="AK29" s="70">
        <f>+AK28*1.1</f>
        <v>303.5084219947243</v>
      </c>
      <c r="AL29" s="71">
        <f>+$AK29*AL$24-$AP$13+'Wheat Dual ~800Lb'!L$38-$AP$17</f>
        <v>18.411914897625934</v>
      </c>
      <c r="AM29" s="72">
        <f>+$AK29*AM$24-$AP$13+'Wheat Dual ~800Lb'!M$38-$AP$17</f>
        <v>24.087335997362146</v>
      </c>
      <c r="AN29" s="72">
        <f>+$AK29*AN$24-$AP$13+'Wheat Dual ~800Lb'!N$38-$AP$17</f>
        <v>30.262757097098387</v>
      </c>
      <c r="AO29" s="72">
        <f>+$AK29*AO$24-$AP$13+'Wheat Dual ~800Lb'!O$38-$AP$17</f>
        <v>20.438178196834571</v>
      </c>
      <c r="AP29" s="73">
        <f>+$AK29*AP$24-$AP$13+'Wheat Dual ~800Lb'!P$38-$AP$17</f>
        <v>19.113599296570811</v>
      </c>
    </row>
    <row r="30" spans="2:42" ht="16.5" thickTop="1" thickBot="1" x14ac:dyDescent="0.3"/>
    <row r="31" spans="2:42" ht="16.5" thickTop="1" thickBot="1" x14ac:dyDescent="0.3">
      <c r="B31" s="352" t="s">
        <v>113</v>
      </c>
      <c r="C31" s="353"/>
      <c r="D31" s="353"/>
      <c r="E31" s="353"/>
      <c r="F31" s="353"/>
      <c r="G31" s="354"/>
      <c r="I31" s="352" t="s">
        <v>113</v>
      </c>
      <c r="J31" s="353"/>
      <c r="K31" s="353"/>
      <c r="L31" s="353"/>
      <c r="M31" s="353"/>
      <c r="N31" s="354"/>
      <c r="P31" s="352" t="s">
        <v>113</v>
      </c>
      <c r="Q31" s="353"/>
      <c r="R31" s="353"/>
      <c r="S31" s="353"/>
      <c r="T31" s="353"/>
      <c r="U31" s="354"/>
      <c r="W31" s="352" t="s">
        <v>113</v>
      </c>
      <c r="X31" s="353"/>
      <c r="Y31" s="353"/>
      <c r="Z31" s="353"/>
      <c r="AA31" s="353"/>
      <c r="AB31" s="354"/>
      <c r="AD31" s="352" t="s">
        <v>113</v>
      </c>
      <c r="AE31" s="353"/>
      <c r="AF31" s="353"/>
      <c r="AG31" s="353"/>
      <c r="AH31" s="353"/>
      <c r="AI31" s="354"/>
      <c r="AK31" s="352" t="s">
        <v>113</v>
      </c>
      <c r="AL31" s="353"/>
      <c r="AM31" s="353"/>
      <c r="AN31" s="353"/>
      <c r="AO31" s="353"/>
      <c r="AP31" s="354"/>
    </row>
    <row r="32" spans="2:42" ht="15.75" thickTop="1" x14ac:dyDescent="0.25">
      <c r="B32" s="60" t="s">
        <v>58</v>
      </c>
      <c r="C32" s="355" t="s">
        <v>114</v>
      </c>
      <c r="D32" s="356"/>
      <c r="E32" s="356" t="s">
        <v>60</v>
      </c>
      <c r="F32" s="356"/>
      <c r="G32" s="357"/>
      <c r="I32" s="60" t="s">
        <v>58</v>
      </c>
      <c r="J32" s="355" t="s">
        <v>114</v>
      </c>
      <c r="K32" s="356"/>
      <c r="L32" s="356" t="s">
        <v>60</v>
      </c>
      <c r="M32" s="356"/>
      <c r="N32" s="357"/>
      <c r="P32" s="60" t="s">
        <v>58</v>
      </c>
      <c r="Q32" s="355" t="s">
        <v>114</v>
      </c>
      <c r="R32" s="356"/>
      <c r="S32" s="356" t="s">
        <v>60</v>
      </c>
      <c r="T32" s="356"/>
      <c r="U32" s="357"/>
      <c r="W32" s="60" t="s">
        <v>109</v>
      </c>
      <c r="X32" s="355" t="s">
        <v>107</v>
      </c>
      <c r="Y32" s="356"/>
      <c r="Z32" s="356"/>
      <c r="AA32" s="356"/>
      <c r="AB32" s="357"/>
      <c r="AD32" s="60" t="s">
        <v>109</v>
      </c>
      <c r="AE32" s="355" t="s">
        <v>107</v>
      </c>
      <c r="AF32" s="356"/>
      <c r="AG32" s="356"/>
      <c r="AH32" s="356"/>
      <c r="AI32" s="357"/>
      <c r="AK32" s="60" t="s">
        <v>109</v>
      </c>
      <c r="AL32" s="355" t="s">
        <v>107</v>
      </c>
      <c r="AM32" s="356"/>
      <c r="AN32" s="356"/>
      <c r="AO32" s="356"/>
      <c r="AP32" s="357"/>
    </row>
    <row r="33" spans="2:42" ht="15.75" thickBot="1" x14ac:dyDescent="0.3">
      <c r="B33" s="61"/>
      <c r="C33" s="118">
        <f>+E33*0.9</f>
        <v>8.5500000000000007</v>
      </c>
      <c r="D33" s="119">
        <f>+E33*0.95</f>
        <v>9.0250000000000004</v>
      </c>
      <c r="E33" s="120">
        <f>+E24</f>
        <v>9.5</v>
      </c>
      <c r="F33" s="119">
        <f>+E33*1.05</f>
        <v>9.9749999999999996</v>
      </c>
      <c r="G33" s="121">
        <f>+E33*1.1</f>
        <v>10.450000000000001</v>
      </c>
      <c r="I33" s="61"/>
      <c r="J33" s="118">
        <f>+L33*0.9</f>
        <v>8.5500000000000007</v>
      </c>
      <c r="K33" s="119">
        <f>+L33*0.95</f>
        <v>9.0250000000000004</v>
      </c>
      <c r="L33" s="120">
        <f>+L24</f>
        <v>9.5</v>
      </c>
      <c r="M33" s="119">
        <f>+L33*1.05</f>
        <v>9.9749999999999996</v>
      </c>
      <c r="N33" s="121">
        <f>+L33*1.1</f>
        <v>10.450000000000001</v>
      </c>
      <c r="P33" s="61"/>
      <c r="Q33" s="118">
        <f>+S33*0.9</f>
        <v>8.5500000000000007</v>
      </c>
      <c r="R33" s="119">
        <f>+S33*0.95</f>
        <v>9.0250000000000004</v>
      </c>
      <c r="S33" s="120">
        <f>+S24</f>
        <v>9.5</v>
      </c>
      <c r="T33" s="119">
        <f>+S33*1.05</f>
        <v>9.9749999999999996</v>
      </c>
      <c r="U33" s="121">
        <f>+S33*1.1</f>
        <v>10.450000000000001</v>
      </c>
      <c r="W33" s="61" t="s">
        <v>8</v>
      </c>
      <c r="X33" s="118">
        <f>+Z33*0.8</f>
        <v>0.52</v>
      </c>
      <c r="Y33" s="119">
        <f>+Z33*0.9</f>
        <v>0.58500000000000008</v>
      </c>
      <c r="Z33" s="120">
        <f>+Z24</f>
        <v>0.65</v>
      </c>
      <c r="AA33" s="119">
        <f>+Z33*1.05</f>
        <v>0.68250000000000011</v>
      </c>
      <c r="AB33" s="121">
        <f>+Z33*1.1</f>
        <v>0.71500000000000008</v>
      </c>
      <c r="AD33" s="61" t="s">
        <v>8</v>
      </c>
      <c r="AE33" s="118">
        <f>+AE24</f>
        <v>0.4</v>
      </c>
      <c r="AF33" s="119">
        <f>+AG33*0.9</f>
        <v>0.58500000000000008</v>
      </c>
      <c r="AG33" s="120">
        <f>+AG24</f>
        <v>0.65</v>
      </c>
      <c r="AH33" s="119">
        <f>+AH24</f>
        <v>0.7</v>
      </c>
      <c r="AI33" s="121">
        <f>+AI24</f>
        <v>0.8</v>
      </c>
      <c r="AK33" s="61" t="s">
        <v>8</v>
      </c>
      <c r="AL33" s="118">
        <f>+AL24</f>
        <v>0.45</v>
      </c>
      <c r="AM33" s="119">
        <f>+AN33*0.9</f>
        <v>0.49500000000000005</v>
      </c>
      <c r="AN33" s="120">
        <f>+AN24</f>
        <v>0.55000000000000004</v>
      </c>
      <c r="AO33" s="119">
        <f>+AO24</f>
        <v>0.6</v>
      </c>
      <c r="AP33" s="121">
        <f>+AP24</f>
        <v>0.65</v>
      </c>
    </row>
    <row r="34" spans="2:42" ht="15.75" thickTop="1" x14ac:dyDescent="0.25">
      <c r="B34" s="114">
        <f>+B36*0.8</f>
        <v>32</v>
      </c>
      <c r="C34" s="140">
        <f>+(C$24*$B34-$G$13-$G$17)+'Wheat Grain'!$G$37+'Wheat Grain'!$G$42</f>
        <v>-12.107874999999961</v>
      </c>
      <c r="D34" s="141">
        <f>+(D$24*$B34-$G$13-$G$17)+'Wheat Grain'!$G$37+'Wheat Grain'!$G$42</f>
        <v>3.0921250000000278</v>
      </c>
      <c r="E34" s="141">
        <f>+(E$24*$B34-$G$13-$G$17)+'Wheat Grain'!$G$37+'Wheat Grain'!$G$42</f>
        <v>18.292125000000016</v>
      </c>
      <c r="F34" s="141">
        <f>+(F$24*$B34-$G$13-$G$17)+'Wheat Grain'!$G$37+'Wheat Grain'!$G$42</f>
        <v>33.492125000000001</v>
      </c>
      <c r="G34" s="142">
        <f>+(G$24*$B34-$G$13-$G$17)+'Wheat Grain'!$G$37+'Wheat Grain'!$G$42</f>
        <v>48.692125000000047</v>
      </c>
      <c r="I34" s="114">
        <f>+I36*0.8</f>
        <v>28</v>
      </c>
      <c r="J34" s="140">
        <f>+(J$24*$I34+$N$8-$N$13-$N$17)+'Wheat Dual  ~700Lb'!$G$37+'Wheat Dual  ~700Lb'!$G$42</f>
        <v>17.971905000000039</v>
      </c>
      <c r="K34" s="141">
        <f>+(K$24*$I34+$N$8-$N$13-$N$17)+'Wheat Dual  ~700Lb'!$G$37+'Wheat Dual  ~700Lb'!$G$42</f>
        <v>31.27190500000005</v>
      </c>
      <c r="L34" s="141">
        <f>+(L$24*$I34+$N$8-$N$13-$N$17)+'Wheat Dual  ~700Lb'!$G$37+'Wheat Dual  ~700Lb'!$G$42</f>
        <v>44.571905000000001</v>
      </c>
      <c r="M34" s="141">
        <f>+(M$24*$I34+$N$8-$N$13-$N$17)+'Wheat Dual  ~700Lb'!$G$37+'Wheat Dual  ~700Lb'!$G$42</f>
        <v>57.871905000000012</v>
      </c>
      <c r="N34" s="142">
        <f>+(N$24*$I34+$N$8-$N$13-$N$17)+'Wheat Dual  ~700Lb'!$G$37+'Wheat Dual  ~700Lb'!$G$42</f>
        <v>71.171905000000024</v>
      </c>
      <c r="P34" s="114">
        <f>+P36*0.8</f>
        <v>28</v>
      </c>
      <c r="Q34" s="140">
        <f>+(Q$24*$P34*$U$6+$U$8-$U$13-$U$17)+'Wheat Dual ~800Lb'!$G$37+'Wheat Dual ~800Lb'!$G$42</f>
        <v>-1.306844999999992</v>
      </c>
      <c r="R34" s="141">
        <f>+(R$24*$P34*$U$6+$U$8-$U$13-$U$17)+'Wheat Dual ~800Lb'!$G$37+'Wheat Dual ~800Lb'!$G$42</f>
        <v>7.005655000000008</v>
      </c>
      <c r="S34" s="141">
        <f>+(S$24*$P34*$U$6+$U$8-$U$13-$U$17)+'Wheat Dual ~800Lb'!$G$37+'Wheat Dual ~800Lb'!$G$42</f>
        <v>15.318155000000008</v>
      </c>
      <c r="T34" s="141">
        <f>+(T$24*$P34*$U$6+$U$8-$U$13-$U$17)+'Wheat Dual ~800Lb'!$G$37+'Wheat Dual ~800Lb'!$G$42</f>
        <v>23.630655000000008</v>
      </c>
      <c r="U34" s="142">
        <f>+(U$24*$P34*$U$6+$U$8-$U$13-$U$17)+'Wheat Dual ~800Lb'!$G$37+'Wheat Dual ~800Lb'!$G$42</f>
        <v>31.943155000000008</v>
      </c>
      <c r="W34" s="114">
        <f>+W36*0.9</f>
        <v>206.79000000000002</v>
      </c>
      <c r="X34" s="140">
        <f>+(X$24*$W34)-$AB$13-$AB$17+'Wheat Graze Out'!$G$37+'Wheat Graze Out'!$G$42</f>
        <v>-141.28294999999997</v>
      </c>
      <c r="Y34" s="141">
        <f>+(Y$24*$W34)-$AB$13-$AB$17+'Wheat Graze Out'!$G$37+'Wheat Graze Out'!$G$42</f>
        <v>-127.84159999999996</v>
      </c>
      <c r="Z34" s="141">
        <f>+(Z$24*$W34)-$AB$13-$AB$17+'Wheat Graze Out'!$G$37+'Wheat Graze Out'!$G$42</f>
        <v>-114.40024999999996</v>
      </c>
      <c r="AA34" s="141">
        <f>+(AA$24*$W34)-$AB$13-$AB$17+'Wheat Graze Out'!$G$37+'Wheat Graze Out'!$G$42</f>
        <v>-104.06074999999997</v>
      </c>
      <c r="AB34" s="142">
        <f>+(AB$24*$W34)-$AB$13-$AB$17+'Wheat Graze Out'!$G$37+'Wheat Graze Out'!$G$42</f>
        <v>-83.381749999999968</v>
      </c>
      <c r="AD34" s="114">
        <f>+AD36*0.9</f>
        <v>189.94474719101123</v>
      </c>
      <c r="AE34" s="140">
        <f>+(AE$24*$AD34)-$AI$13-$AI$17+'Fescue Established'!$F$43</f>
        <v>-2.2200081003396903</v>
      </c>
      <c r="AF34" s="141">
        <f>+(AF$24*$AD34)-$AI$13-$AI$17+'Fescue Established'!$F$43</f>
        <v>16.77446661876143</v>
      </c>
      <c r="AG34" s="141">
        <f>+(AG$24*$AD34)-$AI$13-$AI$17+'Fescue Established'!$F$43</f>
        <v>45.266178697413125</v>
      </c>
      <c r="AH34" s="141">
        <f>+(AH$24*$AD34)-$AI$13-$AI$17+'Fescue Established'!$F$43</f>
        <v>54.763416056963678</v>
      </c>
      <c r="AI34" s="142">
        <f>+(AI$24*$AD34)-$AI$13-$AI$17+'Fescue Established'!$F$43</f>
        <v>73.757890776064812</v>
      </c>
      <c r="AK34" s="114">
        <f>+AK36*0.9</f>
        <v>236.50006908679811</v>
      </c>
      <c r="AL34" s="140">
        <f>+'Wheat Farm Margins'!AL36</f>
        <v>-69.166844601808833</v>
      </c>
      <c r="AM34" s="141">
        <f>+'Wheat Farm Margins'!AM36</f>
        <v>-54.976840456600947</v>
      </c>
      <c r="AN34" s="141">
        <f>+'Wheat Farm Margins'!AN36</f>
        <v>-43.151837002261026</v>
      </c>
      <c r="AO34" s="141">
        <f>+'Wheat Farm Margins'!AO36</f>
        <v>-7.6768266392413391</v>
      </c>
      <c r="AP34" s="142">
        <f>+'Wheat Farm Margins'!AP36</f>
        <v>15.973180269438503</v>
      </c>
    </row>
    <row r="35" spans="2:42" ht="15.75" thickBot="1" x14ac:dyDescent="0.3">
      <c r="B35" s="115">
        <f>+B36*0.9</f>
        <v>36</v>
      </c>
      <c r="C35" s="143">
        <f>+(C$24*$B35-$G$13-$G$17)+'Wheat Grain'!$G$37+'Wheat Grain'!$G$42</f>
        <v>22.092125000000028</v>
      </c>
      <c r="D35" s="144">
        <f>+(D$24*$B35-$G$13-$G$17)+'Wheat Grain'!$G$37+'Wheat Grain'!$G$42</f>
        <v>39.192125000000047</v>
      </c>
      <c r="E35" s="152">
        <f>+(E$24*$B35-$G$13-$G$17)+'Wheat Grain'!$G$37+'Wheat Grain'!$G$42</f>
        <v>56.292125000000013</v>
      </c>
      <c r="F35" s="144">
        <f>+(F$24*$B35-$G$13-$G$17)+'Wheat Grain'!$G$37+'Wheat Grain'!$G$42</f>
        <v>73.392124999999979</v>
      </c>
      <c r="G35" s="145">
        <f>+(G$24*$B35-$G$13-$G$17)+'Wheat Grain'!$G$37+'Wheat Grain'!$G$42</f>
        <v>90.492125000000058</v>
      </c>
      <c r="I35" s="115">
        <f>+I36*0.9</f>
        <v>31.5</v>
      </c>
      <c r="J35" s="143">
        <f>+(J$24*$I35+$N$8-$N$13-$N$17)+'Wheat Dual  ~700Lb'!$G$37+'Wheat Dual  ~700Lb'!$G$42</f>
        <v>47.896905000000046</v>
      </c>
      <c r="K35" s="144">
        <f>+(K$24*$I35+$N$8-$N$13-$N$17)+'Wheat Dual  ~700Lb'!$G$37+'Wheat Dual  ~700Lb'!$G$42</f>
        <v>62.859405000000024</v>
      </c>
      <c r="L35" s="152">
        <f>+(L$24*$I35+$N$8-$N$13-$N$17)+'Wheat Dual  ~700Lb'!$G$37+'Wheat Dual  ~700Lb'!$G$42</f>
        <v>77.821905000000001</v>
      </c>
      <c r="M35" s="144">
        <f>+(M$24*$I35+$N$8-$N$13-$N$17)+'Wheat Dual  ~700Lb'!$G$37+'Wheat Dual  ~700Lb'!$G$42</f>
        <v>92.784404999999978</v>
      </c>
      <c r="N35" s="145">
        <f>+(N$24*$I35+$N$8-$N$13-$N$17)+'Wheat Dual  ~700Lb'!$G$37+'Wheat Dual  ~700Lb'!$G$42</f>
        <v>107.74690500000001</v>
      </c>
      <c r="P35" s="115">
        <f>+P36*0.9</f>
        <v>31.5</v>
      </c>
      <c r="Q35" s="143">
        <f>+(Q$24*$P35*$U$6+$U$8-$U$13-$U$17)+'Wheat Dual ~800Lb'!$G$37+'Wheat Dual ~800Lb'!$G$42</f>
        <v>17.396280000000008</v>
      </c>
      <c r="R35" s="144">
        <f>+(R$24*$P35*$U$6+$U$8-$U$13-$U$17)+'Wheat Dual ~800Lb'!$G$37+'Wheat Dual ~800Lb'!$G$42</f>
        <v>26.747842500000008</v>
      </c>
      <c r="S35" s="152">
        <f>+(S$24*$P35*$U$6+$U$8-$U$13-$U$17)+'Wheat Dual ~800Lb'!$G$37+'Wheat Dual ~800Lb'!$G$42</f>
        <v>36.099405000000004</v>
      </c>
      <c r="T35" s="144">
        <f>+(T$24*$P35*$U$6+$U$8-$U$13-$U$17)+'Wheat Dual ~800Lb'!$G$37+'Wheat Dual ~800Lb'!$G$42</f>
        <v>45.450967500000004</v>
      </c>
      <c r="U35" s="145">
        <f>+(U$24*$P35*$U$6+$U$8-$U$13-$U$17)+'Wheat Dual ~800Lb'!$G$37+'Wheat Dual ~800Lb'!$G$42</f>
        <v>54.802530000000004</v>
      </c>
      <c r="W35" s="115">
        <f>+W36*0.95</f>
        <v>218.27833333333334</v>
      </c>
      <c r="X35" s="143">
        <f>+(X$24*$W35)-$AB$13-$AB$17+'Wheat Graze Out'!$G$37+'Wheat Graze Out'!$G$42</f>
        <v>-135.30901666666665</v>
      </c>
      <c r="Y35" s="152">
        <f>+(Y$24*$W35)-$AB$13-$AB$17+'Wheat Graze Out'!$G$37+'Wheat Graze Out'!$G$42</f>
        <v>-121.12092499999999</v>
      </c>
      <c r="Z35" s="152">
        <f>+(Z$24*$W35)-$AB$13-$AB$17+'Wheat Graze Out'!$G$37+'Wheat Graze Out'!$G$42</f>
        <v>-106.93283333333331</v>
      </c>
      <c r="AA35" s="144">
        <f>+(AA$24*$W35)-$AB$13-$AB$17+'Wheat Graze Out'!$G$37+'Wheat Graze Out'!$G$42</f>
        <v>-96.018916666666669</v>
      </c>
      <c r="AB35" s="145">
        <f>+(AB$24*$W35)-$AB$13-$AB$17+'Wheat Graze Out'!$G$37+'Wheat Graze Out'!$G$42</f>
        <v>-74.19108333333331</v>
      </c>
      <c r="AD35" s="115">
        <f>+AD36*0.95</f>
        <v>200.4972331460674</v>
      </c>
      <c r="AE35" s="143">
        <f>+(AE$24*$AD35)-$AI$13-$AI$17+'Fescue Established'!$F$43</f>
        <v>2.0009862816827777</v>
      </c>
      <c r="AF35" s="144">
        <f>+(AF$24*$AD35)-$AI$13-$AI$17+'Fescue Established'!$F$43</f>
        <v>22.050709596289515</v>
      </c>
      <c r="AG35" s="152">
        <f>+(AG$24*$AD35)-$AI$13-$AI$17+'Fescue Established'!$F$43</f>
        <v>52.125294568199649</v>
      </c>
      <c r="AH35" s="144">
        <f>+(AH$24*$AD35)-$AI$13-$AI$17+'Fescue Established'!$F$43</f>
        <v>62.150156225502997</v>
      </c>
      <c r="AI35" s="145">
        <f>+(AI$24*$AD35)-$AI$13-$AI$17+'Fescue Established'!$F$43</f>
        <v>82.199879540109748</v>
      </c>
      <c r="AK35" s="115">
        <f>+AK36*0.95</f>
        <v>249.63896181384243</v>
      </c>
      <c r="AL35" s="143">
        <f>+'Wheat Farm Margins'!AL37</f>
        <v>-63.385731801909337</v>
      </c>
      <c r="AM35" s="144">
        <f>+'Wheat Farm Margins'!AM37</f>
        <v>-48.407394093078786</v>
      </c>
      <c r="AN35" s="152">
        <f>+'Wheat Farm Margins'!AN37</f>
        <v>-35.925446002386643</v>
      </c>
      <c r="AO35" s="144">
        <f>+'Wheat Farm Margins'!AO37</f>
        <v>1.5203982696896805</v>
      </c>
      <c r="AP35" s="145">
        <f>+'Wheat Farm Margins'!AP37</f>
        <v>26.484294451073936</v>
      </c>
    </row>
    <row r="36" spans="2:42" ht="15.75" thickBot="1" x14ac:dyDescent="0.3">
      <c r="B36" s="116">
        <f>+B27</f>
        <v>40</v>
      </c>
      <c r="C36" s="143">
        <f>+(C$24*$B36-$G$13-$G$17)+'Wheat Grain'!$G$37+'Wheat Grain'!$G$42</f>
        <v>56.292125000000013</v>
      </c>
      <c r="D36" s="149">
        <f>+(D$24*$B36-$G$13-$G$17)+'Wheat Grain'!$G$37+'Wheat Grain'!$G$42</f>
        <v>75.292125000000013</v>
      </c>
      <c r="E36" s="137">
        <f>+(E$24*$B36-$G$13-$G$17)+'Wheat Grain'!$G$37+'Wheat Grain'!$G$42</f>
        <v>94.292125000000013</v>
      </c>
      <c r="F36" s="151">
        <f>+(F$24*$B36-$G$13-$G$17)+'Wheat Grain'!$G$37+'Wheat Grain'!$G$42</f>
        <v>113.29212500000001</v>
      </c>
      <c r="G36" s="145">
        <f>+(G$24*$B36-$G$13-$G$17)+'Wheat Grain'!$G$37+'Wheat Grain'!$G$42</f>
        <v>132.29212500000008</v>
      </c>
      <c r="I36" s="116">
        <f>+I27</f>
        <v>35</v>
      </c>
      <c r="J36" s="143">
        <f>+(J$24*$I36+$N$8-$N$13-$N$17)+'Wheat Dual  ~700Lb'!$G$37+'Wheat Dual  ~700Lb'!$G$42</f>
        <v>77.821905000000001</v>
      </c>
      <c r="K36" s="149">
        <f>+(K$24*$I36+$N$8-$N$13-$N$17)+'Wheat Dual  ~700Lb'!$G$37+'Wheat Dual  ~700Lb'!$G$42</f>
        <v>94.446905000000001</v>
      </c>
      <c r="L36" s="137">
        <f>+(L$24*$I36+$N$8-$N$13-$N$17)+'Wheat Dual  ~700Lb'!$G$37+'Wheat Dual  ~700Lb'!$G$42</f>
        <v>111.071905</v>
      </c>
      <c r="M36" s="151">
        <f>+(M$24*$I36+$N$8-$N$13-$N$17)+'Wheat Dual  ~700Lb'!$G$37+'Wheat Dual  ~700Lb'!$G$42</f>
        <v>127.696905</v>
      </c>
      <c r="N36" s="145">
        <f>+(N$24*$I36+$N$8-$N$13-$N$17)+'Wheat Dual  ~700Lb'!$G$37+'Wheat Dual  ~700Lb'!$G$42</f>
        <v>144.32190500000007</v>
      </c>
      <c r="P36" s="116">
        <f>+P27</f>
        <v>35</v>
      </c>
      <c r="Q36" s="143">
        <f>+(Q$24*$P36*$U$6+$U$8-$U$13-$U$17)+'Wheat Dual ~800Lb'!$G$37+'Wheat Dual ~800Lb'!$G$42</f>
        <v>36.099405000000004</v>
      </c>
      <c r="R36" s="149">
        <f>+(R$24*$P36*$U$6+$U$8-$U$13-$U$17)+'Wheat Dual ~800Lb'!$G$37+'Wheat Dual ~800Lb'!$G$42</f>
        <v>46.490030000000004</v>
      </c>
      <c r="S36" s="137">
        <f>+(S$24*$P36*$U$6+$U$8-$U$13-$U$17)+'Wheat Dual ~800Lb'!$G$37+'Wheat Dual ~800Lb'!$G$42</f>
        <v>56.880655000000004</v>
      </c>
      <c r="T36" s="151">
        <f>+(T$24*$P36*$U$6+$U$8-$U$13-$U$17)+'Wheat Dual ~800Lb'!$G$37+'Wheat Dual ~800Lb'!$G$42</f>
        <v>67.271280000000004</v>
      </c>
      <c r="U36" s="145">
        <f>+(U$24*$P36*$U$6+$U$8-$U$13-$U$17)+'Wheat Dual ~800Lb'!$G$37+'Wheat Dual ~800Lb'!$G$42</f>
        <v>77.661905000000004</v>
      </c>
      <c r="W36" s="116">
        <f>+W27</f>
        <v>229.76666666666668</v>
      </c>
      <c r="X36" s="150">
        <f>+(X$24*$W36)-$AB$13-$AB$17+'Wheat Graze Out'!$G$37+'Wheat Graze Out'!$G$42</f>
        <v>-129.33508333333333</v>
      </c>
      <c r="Y36" s="154">
        <f>+(Y$24*$W36)-$AB$13-$AB$17+'Wheat Graze Out'!$G$37+'Wheat Graze Out'!$G$42</f>
        <v>-114.40024999999996</v>
      </c>
      <c r="Z36" s="137">
        <f>+(Z$24*$W36)-$AB$13-$AB$17+'Wheat Graze Out'!$G$37+'Wheat Graze Out'!$G$42</f>
        <v>-99.465416666666627</v>
      </c>
      <c r="AA36" s="151">
        <f>+(AA$24*$W36)-$AB$13-$AB$17+'Wheat Graze Out'!$G$37+'Wheat Graze Out'!$G$42</f>
        <v>-87.977083333333312</v>
      </c>
      <c r="AB36" s="145">
        <f>+(AB$24*$W36)-$AB$13-$AB$17+'Wheat Graze Out'!$G$37+'Wheat Graze Out'!$G$42</f>
        <v>-65.000416666666624</v>
      </c>
      <c r="AD36" s="116">
        <f>+AD27</f>
        <v>211.0497191011236</v>
      </c>
      <c r="AE36" s="143">
        <f>+(AE$24*$AD36)-$AI$13-$AI$17+'Fescue Established'!$F$43</f>
        <v>6.2219806637052599</v>
      </c>
      <c r="AF36" s="149">
        <f>+(AF$24*$AD36)-$AI$13-$AI$17+'Fescue Established'!$F$43</f>
        <v>27.326952573817614</v>
      </c>
      <c r="AG36" s="137">
        <f>+(AG$24*$AD36)-$AI$13-$AI$17+'Fescue Established'!$F$43</f>
        <v>58.984410438986174</v>
      </c>
      <c r="AH36" s="151">
        <f>+(AH$24*$AD36)-$AI$13-$AI$17+'Fescue Established'!$F$43</f>
        <v>69.536896394042344</v>
      </c>
      <c r="AI36" s="145">
        <f>+(AI$24*$AD36)-$AI$13-$AI$17+'Fescue Established'!$F$43</f>
        <v>90.641868304154713</v>
      </c>
      <c r="AK36" s="116">
        <f>+AK27</f>
        <v>262.77785454088678</v>
      </c>
      <c r="AL36" s="143">
        <f>+'Wheat Farm Margins'!AL38</f>
        <v>-57.604619002009819</v>
      </c>
      <c r="AM36" s="149">
        <f>+'Wheat Farm Margins'!AM38</f>
        <v>-41.83794772955661</v>
      </c>
      <c r="AN36" s="137">
        <f>+'Wheat Farm Margins'!AN38</f>
        <v>-28.69905500251226</v>
      </c>
      <c r="AO36" s="151">
        <f>+'Wheat Farm Margins'!AO38</f>
        <v>10.717623178620729</v>
      </c>
      <c r="AP36" s="145">
        <f>+'Wheat Farm Margins'!AP38</f>
        <v>36.995408632709434</v>
      </c>
    </row>
    <row r="37" spans="2:42" x14ac:dyDescent="0.25">
      <c r="B37" s="115">
        <f>+B36*1.1</f>
        <v>44</v>
      </c>
      <c r="C37" s="143">
        <f>+(C$24*$B37-$G$13-$G$17)+'Wheat Grain'!$G$37+'Wheat Grain'!$G$42</f>
        <v>90.492125000000058</v>
      </c>
      <c r="D37" s="144">
        <f>+(D$24*$B37-$G$13-$G$17)+'Wheat Grain'!$G$37+'Wheat Grain'!$G$42</f>
        <v>111.39212500000004</v>
      </c>
      <c r="E37" s="153">
        <f>+(E$24*$B37-$G$13-$G$17)+'Wheat Grain'!$G$37+'Wheat Grain'!$G$42</f>
        <v>132.29212500000003</v>
      </c>
      <c r="F37" s="144">
        <f>+(F$24*$B37-$G$13-$G$17)+'Wheat Grain'!$G$37+'Wheat Grain'!$G$42</f>
        <v>153.192125</v>
      </c>
      <c r="G37" s="145">
        <f>+(G$24*$B37-$G$13-$G$17)+'Wheat Grain'!$G$37+'Wheat Grain'!$G$42</f>
        <v>174.0921250000001</v>
      </c>
      <c r="I37" s="115">
        <f>+I36*1.1</f>
        <v>38.5</v>
      </c>
      <c r="J37" s="143">
        <f>+(J$24*$I37+$N$8-$N$13-$N$17)+'Wheat Dual  ~700Lb'!$G$37+'Wheat Dual  ~700Lb'!$G$42</f>
        <v>107.74690500000001</v>
      </c>
      <c r="K37" s="144">
        <f>+(K$24*$I37+$N$8-$N$13-$N$17)+'Wheat Dual  ~700Lb'!$G$37+'Wheat Dual  ~700Lb'!$G$42</f>
        <v>126.03440500000004</v>
      </c>
      <c r="L37" s="153">
        <f>+(L$24*$I37+$N$8-$N$13-$N$17)+'Wheat Dual  ~700Lb'!$G$37+'Wheat Dual  ~700Lb'!$G$42</f>
        <v>144.32190500000002</v>
      </c>
      <c r="M37" s="144">
        <f>+(M$24*$I37+$N$8-$N$13-$N$17)+'Wheat Dual  ~700Lb'!$G$37+'Wheat Dual  ~700Lb'!$G$42</f>
        <v>162.60940499999995</v>
      </c>
      <c r="N37" s="145">
        <f>+(N$24*$I37+$N$8-$N$13-$N$17)+'Wheat Dual  ~700Lb'!$G$37+'Wheat Dual  ~700Lb'!$G$42</f>
        <v>180.89690500000003</v>
      </c>
      <c r="P37" s="115">
        <f>+P36*1.1</f>
        <v>38.5</v>
      </c>
      <c r="Q37" s="143">
        <f>+(Q$24*$P37*$U$6+$U$8-$U$13-$U$17)+'Wheat Dual ~800Lb'!$G$37+'Wheat Dual ~800Lb'!$G$42</f>
        <v>54.802530000000004</v>
      </c>
      <c r="R37" s="144">
        <f>+(R$24*$P37*$U$6+$U$8-$U$13-$U$17)+'Wheat Dual ~800Lb'!$G$37+'Wheat Dual ~800Lb'!$G$42</f>
        <v>66.232217500000004</v>
      </c>
      <c r="S37" s="153">
        <f>+(S$24*$P37*$U$6+$U$8-$U$13-$U$17)+'Wheat Dual ~800Lb'!$G$37+'Wheat Dual ~800Lb'!$G$42</f>
        <v>77.661905000000004</v>
      </c>
      <c r="T37" s="144">
        <f>+(T$24*$P37*$U$6+$U$8-$U$13-$U$17)+'Wheat Dual ~800Lb'!$G$37+'Wheat Dual ~800Lb'!$G$42</f>
        <v>89.091592500000004</v>
      </c>
      <c r="U37" s="145">
        <f>+(U$24*$P37*$U$6+$U$8-$U$13-$U$17)+'Wheat Dual ~800Lb'!$G$37+'Wheat Dual ~800Lb'!$G$42</f>
        <v>100.52128</v>
      </c>
      <c r="W37" s="115">
        <f>+W36*1.05</f>
        <v>241.25500000000002</v>
      </c>
      <c r="X37" s="143">
        <f>+(X$24*$W37)-$AB$13-$AB$17+'Wheat Graze Out'!$G$37+'Wheat Graze Out'!$G$42</f>
        <v>-123.36114999999997</v>
      </c>
      <c r="Y37" s="153">
        <f>+(Y$24*$W37)-$AB$13-$AB$17+'Wheat Graze Out'!$G$37+'Wheat Graze Out'!$G$42</f>
        <v>-107.67957499999996</v>
      </c>
      <c r="Z37" s="153">
        <f>+(Z$24*$W37)-$AB$13-$AB$17+'Wheat Graze Out'!$G$37+'Wheat Graze Out'!$G$42</f>
        <v>-91.997999999999976</v>
      </c>
      <c r="AA37" s="144">
        <f>+(AA$24*$W37)-$AB$13-$AB$17+'Wheat Graze Out'!$G$37+'Wheat Graze Out'!$G$42</f>
        <v>-79.935249999999982</v>
      </c>
      <c r="AB37" s="145">
        <f>+(AB$24*$W37)-$AB$13-$AB$17+'Wheat Graze Out'!$G$37+'Wheat Graze Out'!$G$42</f>
        <v>-55.809749999999966</v>
      </c>
      <c r="AD37" s="115">
        <f>+AD36*1.05</f>
        <v>221.6022050561798</v>
      </c>
      <c r="AE37" s="143">
        <f>+(AE$24*$AD37)-$AI$13-$AI$17+'Fescue Established'!$F$43</f>
        <v>10.442975045727742</v>
      </c>
      <c r="AF37" s="144">
        <f>+(AF$24*$AD37)-$AI$13-$AI$17+'Fescue Established'!$F$43</f>
        <v>32.603195551345713</v>
      </c>
      <c r="AG37" s="153">
        <f>+(AG$24*$AD37)-$AI$13-$AI$17+'Fescue Established'!$F$43</f>
        <v>65.843526309772699</v>
      </c>
      <c r="AH37" s="144">
        <f>+(AH$24*$AD37)-$AI$13-$AI$17+'Fescue Established'!$F$43</f>
        <v>76.923636562581663</v>
      </c>
      <c r="AI37" s="145">
        <f>+(AI$24*$AD37)-$AI$13-$AI$17+'Fescue Established'!$F$43</f>
        <v>99.083857068199677</v>
      </c>
      <c r="AK37" s="115">
        <f>+AK36*1.05</f>
        <v>275.91674726793116</v>
      </c>
      <c r="AL37" s="143">
        <f>+'Wheat Farm Margins'!AL39</f>
        <v>-51.823506202110288</v>
      </c>
      <c r="AM37" s="144">
        <f>+'Wheat Farm Margins'!AM39</f>
        <v>-35.268501366034421</v>
      </c>
      <c r="AN37" s="153">
        <f>+'Wheat Farm Margins'!AN39</f>
        <v>-21.472664002637856</v>
      </c>
      <c r="AO37" s="144">
        <f>+'Wheat Farm Margins'!AO39</f>
        <v>19.914848087551803</v>
      </c>
      <c r="AP37" s="145">
        <f>+'Wheat Farm Margins'!AP39</f>
        <v>47.506522814344926</v>
      </c>
    </row>
    <row r="38" spans="2:42" ht="15.75" thickBot="1" x14ac:dyDescent="0.3">
      <c r="B38" s="117">
        <f>+B36*1.2</f>
        <v>48</v>
      </c>
      <c r="C38" s="146">
        <f>+(C$24*$B38-$G$13-$G$17)+'Wheat Grain'!$G$37+'Wheat Grain'!$G$42</f>
        <v>124.69212500000005</v>
      </c>
      <c r="D38" s="147">
        <f>+(D$24*$B38-$G$13-$G$17)+'Wheat Grain'!$G$37+'Wheat Grain'!$G$42</f>
        <v>147.49212500000007</v>
      </c>
      <c r="E38" s="147">
        <f>+(E$24*$B38-$G$13-$G$17)+'Wheat Grain'!$G$37+'Wheat Grain'!$G$42</f>
        <v>170.29212500000003</v>
      </c>
      <c r="F38" s="147">
        <f>+(F$24*$B38-$G$13-$G$17)+'Wheat Grain'!$G$37+'Wheat Grain'!$G$42</f>
        <v>193.09212499999998</v>
      </c>
      <c r="G38" s="148">
        <f>+(G$24*$B38-$G$13-$G$17)+'Wheat Grain'!$G$37+'Wheat Grain'!$G$42</f>
        <v>215.89212500000005</v>
      </c>
      <c r="I38" s="117">
        <f>+I36*1.2</f>
        <v>42</v>
      </c>
      <c r="J38" s="146">
        <f>+(J$24*$I38+$N$8-$N$13-$N$17)+'Wheat Dual  ~700Lb'!$G$37+'Wheat Dual  ~700Lb'!$G$42</f>
        <v>137.67190500000004</v>
      </c>
      <c r="K38" s="147">
        <f>+(K$24*$I38+$N$8-$N$13-$N$17)+'Wheat Dual  ~700Lb'!$G$37+'Wheat Dual  ~700Lb'!$G$42</f>
        <v>157.621905</v>
      </c>
      <c r="L38" s="147">
        <f>+(L$24*$I38+$N$8-$N$13-$N$17)+'Wheat Dual  ~700Lb'!$G$37+'Wheat Dual  ~700Lb'!$G$42</f>
        <v>177.57190499999999</v>
      </c>
      <c r="M38" s="147">
        <f>+(M$24*$I38+$N$8-$N$13-$N$17)+'Wheat Dual  ~700Lb'!$G$37+'Wheat Dual  ~700Lb'!$G$42</f>
        <v>197.52190499999998</v>
      </c>
      <c r="N38" s="148">
        <f>+(N$24*$I38+$N$8-$N$13-$N$17)+'Wheat Dual  ~700Lb'!$G$37+'Wheat Dual  ~700Lb'!$G$42</f>
        <v>217.47190500000008</v>
      </c>
      <c r="P38" s="117">
        <f>+P36*1.2</f>
        <v>42</v>
      </c>
      <c r="Q38" s="146">
        <f>+(Q$24*$P38*$U$6+$U$8-$U$13-$U$17)+'Wheat Dual ~800Lb'!$G$37+'Wheat Dual ~800Lb'!$G$42</f>
        <v>73.505655000000004</v>
      </c>
      <c r="R38" s="147">
        <f>+(R$24*$P38*$U$6+$U$8-$U$13-$U$17)+'Wheat Dual ~800Lb'!$G$37+'Wheat Dual ~800Lb'!$G$42</f>
        <v>85.974405000000004</v>
      </c>
      <c r="S38" s="147">
        <f>+(S$24*$P38*$U$6+$U$8-$U$13-$U$17)+'Wheat Dual ~800Lb'!$G$37+'Wheat Dual ~800Lb'!$G$42</f>
        <v>98.443155000000004</v>
      </c>
      <c r="T38" s="147">
        <f>+(T$24*$P38*$U$6+$U$8-$U$13-$U$17)+'Wheat Dual ~800Lb'!$G$37+'Wheat Dual ~800Lb'!$G$42</f>
        <v>110.911905</v>
      </c>
      <c r="U38" s="148">
        <f>+(U$24*$P38*$U$6+$U$8-$U$13-$U$17)+'Wheat Dual ~800Lb'!$G$37+'Wheat Dual ~800Lb'!$G$42</f>
        <v>123.380655</v>
      </c>
      <c r="W38" s="117">
        <f>+W37*1.1</f>
        <v>265.38050000000004</v>
      </c>
      <c r="X38" s="146">
        <f>+(X$24*$W38)-$AB$13-$AB$17+'Wheat Graze Out'!$G$37+'Wheat Graze Out'!$G$42</f>
        <v>-110.81588999999995</v>
      </c>
      <c r="Y38" s="147">
        <f>+(Y$24*$W38)-$AB$13-$AB$17+'Wheat Graze Out'!$G$37+'Wheat Graze Out'!$G$42</f>
        <v>-93.566157499999932</v>
      </c>
      <c r="Z38" s="147">
        <f>+(Z$24*$W38)-$AB$13-$AB$17+'Wheat Graze Out'!$G$37+'Wheat Graze Out'!$G$42</f>
        <v>-76.316424999999938</v>
      </c>
      <c r="AA38" s="147">
        <f>+(AA$24*$W38)-$AB$13-$AB$17+'Wheat Graze Out'!$G$37+'Wheat Graze Out'!$G$42</f>
        <v>-63.047399999999968</v>
      </c>
      <c r="AB38" s="148">
        <f>+(AB$24*$W38)-$AB$13-$AB$17+'Wheat Graze Out'!$G$37+'Wheat Graze Out'!$G$42</f>
        <v>-36.509349999999941</v>
      </c>
      <c r="AD38" s="117">
        <f>+AD37*1.1</f>
        <v>243.76242556179778</v>
      </c>
      <c r="AE38" s="146">
        <f>+(AE$24*$AD38)-$AI$13-$AI$17+'Fescue Established'!$F$43</f>
        <v>19.307063247974931</v>
      </c>
      <c r="AF38" s="147">
        <f>+(AF$24*$AD38)-$AI$13-$AI$17+'Fescue Established'!$F$43</f>
        <v>43.683305804154713</v>
      </c>
      <c r="AG38" s="147">
        <f>+(AG$24*$AD38)-$AI$13-$AI$17+'Fescue Established'!$F$43</f>
        <v>80.247669638424384</v>
      </c>
      <c r="AH38" s="147">
        <f>+(AH$24*$AD38)-$AI$13-$AI$17+'Fescue Established'!$F$43</f>
        <v>92.435790916514264</v>
      </c>
      <c r="AI38" s="148">
        <f>+(AI$24*$AD38)-$AI$13-$AI$17+'Fescue Established'!$F$43</f>
        <v>116.81203347269405</v>
      </c>
      <c r="AK38" s="117">
        <f>+AK37*1.1</f>
        <v>303.5084219947243</v>
      </c>
      <c r="AL38" s="146">
        <f>+'Wheat Farm Margins'!AL40</f>
        <v>-39.683169322321298</v>
      </c>
      <c r="AM38" s="147">
        <f>+'Wheat Farm Margins'!AM40</f>
        <v>-21.472664002637856</v>
      </c>
      <c r="AN38" s="147">
        <f>+'Wheat Farm Margins'!AN40</f>
        <v>-6.2972429029016137</v>
      </c>
      <c r="AO38" s="147">
        <f>+'Wheat Farm Margins'!AO40</f>
        <v>39.229020396307</v>
      </c>
      <c r="AP38" s="148">
        <f>+'Wheat Farm Margins'!AP40</f>
        <v>69.579862595779446</v>
      </c>
    </row>
    <row r="39" spans="2:42" ht="16.5" thickTop="1" thickBot="1" x14ac:dyDescent="0.3">
      <c r="B39" s="92"/>
      <c r="C39" s="91"/>
      <c r="D39" s="91"/>
      <c r="E39" s="91"/>
      <c r="F39" s="91"/>
      <c r="G39" s="91"/>
      <c r="I39" s="92"/>
      <c r="J39" s="91"/>
      <c r="K39" s="91"/>
      <c r="L39" s="91"/>
      <c r="M39" s="91"/>
      <c r="N39" s="91"/>
      <c r="P39" s="92"/>
      <c r="Q39" s="91"/>
      <c r="R39" s="91"/>
      <c r="S39" s="91"/>
      <c r="T39" s="91"/>
      <c r="U39" s="91"/>
      <c r="W39" s="92"/>
      <c r="X39" s="91"/>
      <c r="Y39" s="91"/>
      <c r="Z39" s="91"/>
      <c r="AA39" s="91"/>
      <c r="AB39" s="91"/>
      <c r="AD39" s="92"/>
      <c r="AE39" s="91"/>
      <c r="AF39" s="91"/>
      <c r="AG39" s="91"/>
      <c r="AH39" s="91"/>
      <c r="AI39" s="91"/>
      <c r="AK39" s="92"/>
      <c r="AL39" s="91"/>
      <c r="AM39" s="91"/>
      <c r="AN39" s="91"/>
      <c r="AO39" s="91"/>
      <c r="AP39" s="91"/>
    </row>
    <row r="40" spans="2:42" ht="16.5" thickTop="1" thickBot="1" x14ac:dyDescent="0.3">
      <c r="B40" s="352" t="s">
        <v>118</v>
      </c>
      <c r="C40" s="353"/>
      <c r="D40" s="353"/>
      <c r="E40" s="353"/>
      <c r="F40" s="353"/>
      <c r="G40" s="354"/>
      <c r="I40" s="352" t="s">
        <v>116</v>
      </c>
      <c r="J40" s="353"/>
      <c r="K40" s="353"/>
      <c r="L40" s="353"/>
      <c r="M40" s="353"/>
      <c r="N40" s="354"/>
      <c r="P40" s="352" t="s">
        <v>116</v>
      </c>
      <c r="Q40" s="353"/>
      <c r="R40" s="353"/>
      <c r="S40" s="353"/>
      <c r="T40" s="353"/>
      <c r="U40" s="354"/>
      <c r="W40" s="352" t="s">
        <v>116</v>
      </c>
      <c r="X40" s="353"/>
      <c r="Y40" s="353"/>
      <c r="Z40" s="353"/>
      <c r="AA40" s="353"/>
      <c r="AB40" s="354"/>
      <c r="AD40" s="352" t="s">
        <v>116</v>
      </c>
      <c r="AE40" s="353"/>
      <c r="AF40" s="353"/>
      <c r="AG40" s="353"/>
      <c r="AH40" s="353"/>
      <c r="AI40" s="354"/>
      <c r="AK40" s="352" t="s">
        <v>116</v>
      </c>
      <c r="AL40" s="353"/>
      <c r="AM40" s="353"/>
      <c r="AN40" s="353"/>
      <c r="AO40" s="353"/>
      <c r="AP40" s="354"/>
    </row>
    <row r="41" spans="2:42" ht="15.75" thickTop="1" x14ac:dyDescent="0.25">
      <c r="B41" s="60" t="s">
        <v>58</v>
      </c>
      <c r="C41" s="355" t="s">
        <v>114</v>
      </c>
      <c r="D41" s="356"/>
      <c r="E41" s="356" t="s">
        <v>60</v>
      </c>
      <c r="F41" s="356"/>
      <c r="G41" s="357"/>
      <c r="I41" s="60" t="s">
        <v>58</v>
      </c>
      <c r="J41" s="355" t="s">
        <v>114</v>
      </c>
      <c r="K41" s="356"/>
      <c r="L41" s="356" t="s">
        <v>60</v>
      </c>
      <c r="M41" s="356"/>
      <c r="N41" s="357"/>
      <c r="P41" s="60" t="s">
        <v>58</v>
      </c>
      <c r="Q41" s="355" t="s">
        <v>114</v>
      </c>
      <c r="R41" s="356"/>
      <c r="S41" s="356" t="s">
        <v>60</v>
      </c>
      <c r="T41" s="356"/>
      <c r="U41" s="357"/>
      <c r="W41" s="60" t="s">
        <v>109</v>
      </c>
      <c r="X41" s="355" t="s">
        <v>107</v>
      </c>
      <c r="Y41" s="356"/>
      <c r="Z41" s="356"/>
      <c r="AA41" s="356"/>
      <c r="AB41" s="357"/>
      <c r="AD41" s="60" t="s">
        <v>109</v>
      </c>
      <c r="AE41" s="355" t="s">
        <v>107</v>
      </c>
      <c r="AF41" s="356"/>
      <c r="AG41" s="356"/>
      <c r="AH41" s="356"/>
      <c r="AI41" s="357"/>
      <c r="AK41" s="60" t="s">
        <v>109</v>
      </c>
      <c r="AL41" s="355" t="s">
        <v>107</v>
      </c>
      <c r="AM41" s="356"/>
      <c r="AN41" s="356"/>
      <c r="AO41" s="356"/>
      <c r="AP41" s="357"/>
    </row>
    <row r="42" spans="2:42" ht="15.75" thickBot="1" x14ac:dyDescent="0.3">
      <c r="B42" s="61"/>
      <c r="C42" s="74">
        <f>+E42*0.9</f>
        <v>8.5500000000000007</v>
      </c>
      <c r="D42" s="75">
        <f>+E42*0.95</f>
        <v>9.0250000000000004</v>
      </c>
      <c r="E42" s="80">
        <f>+E33</f>
        <v>9.5</v>
      </c>
      <c r="F42" s="75">
        <f>+E42*1.05</f>
        <v>9.9749999999999996</v>
      </c>
      <c r="G42" s="76">
        <f>+E42*1.1</f>
        <v>10.450000000000001</v>
      </c>
      <c r="I42" s="61"/>
      <c r="J42" s="74">
        <f>+L42*0.9</f>
        <v>8.5500000000000007</v>
      </c>
      <c r="K42" s="75">
        <f>+L42*0.95</f>
        <v>9.0250000000000004</v>
      </c>
      <c r="L42" s="80">
        <f>+L33</f>
        <v>9.5</v>
      </c>
      <c r="M42" s="75">
        <f>+L42*1.05</f>
        <v>9.9749999999999996</v>
      </c>
      <c r="N42" s="76">
        <f>+L42*1.1</f>
        <v>10.450000000000001</v>
      </c>
      <c r="P42" s="61"/>
      <c r="Q42" s="74">
        <f>+S42*0.9</f>
        <v>8.5500000000000007</v>
      </c>
      <c r="R42" s="75">
        <f>+S42*0.95</f>
        <v>9.0250000000000004</v>
      </c>
      <c r="S42" s="80">
        <f>+S33</f>
        <v>9.5</v>
      </c>
      <c r="T42" s="75">
        <f>+S42*1.05</f>
        <v>9.9749999999999996</v>
      </c>
      <c r="U42" s="76">
        <f>+S42*1.1</f>
        <v>10.450000000000001</v>
      </c>
      <c r="W42" s="61" t="s">
        <v>8</v>
      </c>
      <c r="X42" s="74">
        <f>+Z42*0.8</f>
        <v>0.52</v>
      </c>
      <c r="Y42" s="75">
        <f>+Z42*0.9</f>
        <v>0.58500000000000008</v>
      </c>
      <c r="Z42" s="80">
        <f>+Z33</f>
        <v>0.65</v>
      </c>
      <c r="AA42" s="75">
        <f>+Z42*1.05</f>
        <v>0.68250000000000011</v>
      </c>
      <c r="AB42" s="76">
        <f>+Z42*1.1</f>
        <v>0.71500000000000008</v>
      </c>
      <c r="AD42" s="61" t="s">
        <v>8</v>
      </c>
      <c r="AE42" s="74">
        <f>+AE33</f>
        <v>0.4</v>
      </c>
      <c r="AF42" s="75">
        <f>+AF33</f>
        <v>0.58500000000000008</v>
      </c>
      <c r="AG42" s="80">
        <f>+AG33</f>
        <v>0.65</v>
      </c>
      <c r="AH42" s="75">
        <f>+AH33</f>
        <v>0.7</v>
      </c>
      <c r="AI42" s="76">
        <f>+AI33</f>
        <v>0.8</v>
      </c>
      <c r="AK42" s="61" t="s">
        <v>8</v>
      </c>
      <c r="AL42" s="74">
        <f>+AL33</f>
        <v>0.45</v>
      </c>
      <c r="AM42" s="75">
        <f>+AM33</f>
        <v>0.49500000000000005</v>
      </c>
      <c r="AN42" s="80">
        <f>+AN33</f>
        <v>0.55000000000000004</v>
      </c>
      <c r="AO42" s="75">
        <f>+AO33</f>
        <v>0.6</v>
      </c>
      <c r="AP42" s="76">
        <f>+AP33</f>
        <v>0.65</v>
      </c>
    </row>
    <row r="43" spans="2:42" ht="15.75" thickTop="1" x14ac:dyDescent="0.25">
      <c r="B43" s="62">
        <f>+B45*0.8</f>
        <v>32</v>
      </c>
      <c r="C43" s="63">
        <f>+(C$24*$B43-$G$13-$G$17)+'Wheat Grain'!$G$37+'Wheat Grain'!$G$42+$G$12-$G$49</f>
        <v>21.292125000000045</v>
      </c>
      <c r="D43" s="64">
        <f>+(D$24*$B43-$G$13-$G$17)+'Wheat Grain'!$G$37+'Wheat Grain'!$G$42+$G$12-$G$49</f>
        <v>36.49212500000003</v>
      </c>
      <c r="E43" s="64">
        <f>+(E$24*$B43-$G$13-$G$17)+'Wheat Grain'!$G$37+'Wheat Grain'!$G$42+$G$12-$G$49</f>
        <v>51.692125000000019</v>
      </c>
      <c r="F43" s="64">
        <f>+(F$24*$B43-$G$13-$G$17)+'Wheat Grain'!$G$37+'Wheat Grain'!$G$42+$G$12-$G$49</f>
        <v>66.892125000000007</v>
      </c>
      <c r="G43" s="65">
        <f>+(G$24*$B43-$G$13-$G$17)+'Wheat Grain'!$G$37+'Wheat Grain'!$G$42+$G$12-$G$49</f>
        <v>82.092125000000053</v>
      </c>
      <c r="I43" s="62">
        <f>+I45*0.8</f>
        <v>28</v>
      </c>
      <c r="J43" s="63">
        <f>+(J$24*$I43+$N$8-$N$13-$N$17)+'Wheat Dual  ~700Lb'!$G$37+'Wheat Dual  ~700Lb'!$G$42+$N$12-$N$49</f>
        <v>51.371905000000041</v>
      </c>
      <c r="K43" s="64">
        <f>+(K$24*$I43+$N$8-$N$13-$N$17)+'Wheat Dual  ~700Lb'!$G$37+'Wheat Dual  ~700Lb'!$G$42+$N$12-$N$49</f>
        <v>64.671905000000052</v>
      </c>
      <c r="L43" s="64">
        <f>+(L$24*$I43+$N$8-$N$13-$N$17)+'Wheat Dual  ~700Lb'!$G$37+'Wheat Dual  ~700Lb'!$G$42+$N$12-$N$49</f>
        <v>77.971905000000007</v>
      </c>
      <c r="M43" s="64">
        <f>+(M$24*$I43+$N$8-$N$13-$N$17)+'Wheat Dual  ~700Lb'!$G$37+'Wheat Dual  ~700Lb'!$G$42+$N$12-$N$49</f>
        <v>91.271905000000018</v>
      </c>
      <c r="N43" s="65">
        <f>+(N$24*$I43+$N$8-$N$13-$N$17)+'Wheat Dual  ~700Lb'!$G$37+'Wheat Dual  ~700Lb'!$G$42+$N$12-$N$49</f>
        <v>104.57190500000003</v>
      </c>
      <c r="P43" s="62">
        <f>+P45*0.8</f>
        <v>28</v>
      </c>
      <c r="Q43" s="63">
        <f>+(Q$24*$P43*$U$6+$U$8-$U$13-$U$17)+'Wheat Dual ~800Lb'!$G$37+'Wheat Dual ~800Lb'!$G$42+$U$12-$U$49*$U$6</f>
        <v>19.568155000000008</v>
      </c>
      <c r="R43" s="64">
        <f>+(R$24*$P43*$U$6+$U$8-$U$13-$U$17)+'Wheat Dual ~800Lb'!$G$37+'Wheat Dual ~800Lb'!$G$42+$U$12-$U$49*$U$6</f>
        <v>27.880655000000004</v>
      </c>
      <c r="S43" s="64">
        <f>+(S$24*$P43*$U$6+$U$8-$U$13-$U$17)+'Wheat Dual ~800Lb'!$G$37+'Wheat Dual ~800Lb'!$G$42+$U$12-$U$49*$U$6</f>
        <v>36.193155000000004</v>
      </c>
      <c r="T43" s="64">
        <f>+(T$24*$P43*$U$6+$U$8-$U$13-$U$17)+'Wheat Dual ~800Lb'!$G$37+'Wheat Dual ~800Lb'!$G$42+$U$12-$U$49*$U$6</f>
        <v>44.505655000000004</v>
      </c>
      <c r="U43" s="65">
        <f>+(U$24*$P43*$U$6+$U$8-$U$13-$U$17)+'Wheat Dual ~800Lb'!$G$37+'Wheat Dual ~800Lb'!$G$42+$U$12-$U$49*$U$6</f>
        <v>52.818155000000004</v>
      </c>
      <c r="W43" s="62">
        <f>+W45*0.9</f>
        <v>206.79000000000002</v>
      </c>
      <c r="X43" s="63">
        <f>+(X$24*$W43)-$AB$13-$AB$17+'Wheat Graze Out'!$G$37+'Wheat Graze Out'!$G$42</f>
        <v>-141.28294999999997</v>
      </c>
      <c r="Y43" s="64">
        <f>+(Y$24*$W43)-$AB$13-$AB$17+'Wheat Graze Out'!$G$37+'Wheat Graze Out'!$G$42</f>
        <v>-127.84159999999996</v>
      </c>
      <c r="Z43" s="64">
        <f>+(Z$24*$W43)-$AB$13-$AB$17+'Wheat Graze Out'!$G$37+'Wheat Graze Out'!$G$42</f>
        <v>-114.40024999999996</v>
      </c>
      <c r="AA43" s="64">
        <f>+(AA$24*$W43)-$AB$13-$AB$17+'Wheat Graze Out'!$G$37+'Wheat Graze Out'!$G$42</f>
        <v>-104.06074999999997</v>
      </c>
      <c r="AB43" s="65">
        <f>+(AB$24*$W43)-$AB$13-$AB$17+'Wheat Graze Out'!$G$37+'Wheat Graze Out'!$G$42</f>
        <v>-83.381749999999968</v>
      </c>
      <c r="AD43" s="62">
        <f>+AD45*0.9</f>
        <v>189.94474719101123</v>
      </c>
      <c r="AE43" s="63">
        <f>+AE34</f>
        <v>-2.2200081003396903</v>
      </c>
      <c r="AF43" s="64">
        <f t="shared" ref="AF43:AI43" si="3">+AF34</f>
        <v>16.77446661876143</v>
      </c>
      <c r="AG43" s="64">
        <f t="shared" si="3"/>
        <v>45.266178697413125</v>
      </c>
      <c r="AH43" s="64">
        <f t="shared" si="3"/>
        <v>54.763416056963678</v>
      </c>
      <c r="AI43" s="65">
        <f t="shared" si="3"/>
        <v>73.757890776064812</v>
      </c>
      <c r="AK43" s="62">
        <f>+AK45*0.9</f>
        <v>236.50006908679811</v>
      </c>
      <c r="AL43" s="63">
        <f>+AL34</f>
        <v>-69.166844601808833</v>
      </c>
      <c r="AM43" s="64">
        <f t="shared" ref="AM43:AP43" si="4">+AM34</f>
        <v>-54.976840456600947</v>
      </c>
      <c r="AN43" s="64">
        <f t="shared" si="4"/>
        <v>-43.151837002261026</v>
      </c>
      <c r="AO43" s="64">
        <f t="shared" si="4"/>
        <v>-7.6768266392413391</v>
      </c>
      <c r="AP43" s="65">
        <f t="shared" si="4"/>
        <v>15.973180269438503</v>
      </c>
    </row>
    <row r="44" spans="2:42" ht="15.75" thickBot="1" x14ac:dyDescent="0.3">
      <c r="B44" s="66">
        <f>+B45*0.9</f>
        <v>36</v>
      </c>
      <c r="C44" s="67">
        <f>+(C$24*$B44-$G$13-$G$17)+'Wheat Grain'!$G$37+'Wheat Grain'!$G$42+$G$12-$G$49</f>
        <v>55.49212500000003</v>
      </c>
      <c r="D44" s="68">
        <f>+(D$24*$B44-$G$13-$G$17)+'Wheat Grain'!$G$37+'Wheat Grain'!$G$42+$G$12-$G$49</f>
        <v>72.592125000000053</v>
      </c>
      <c r="E44" s="135">
        <f>+(E$24*$B44-$G$13-$G$17)+'Wheat Grain'!$G$37+'Wheat Grain'!$G$42+$G$12-$G$49</f>
        <v>89.692125000000019</v>
      </c>
      <c r="F44" s="68">
        <f>+(F$24*$B44-$G$13-$G$17)+'Wheat Grain'!$G$37+'Wheat Grain'!$G$42+$G$12-$G$49</f>
        <v>106.79212499999998</v>
      </c>
      <c r="G44" s="69">
        <f>+(G$24*$B44-$G$13-$G$17)+'Wheat Grain'!$G$37+'Wheat Grain'!$G$42+$G$12-$G$49</f>
        <v>123.89212500000006</v>
      </c>
      <c r="I44" s="66">
        <f>+I45*0.9</f>
        <v>31.5</v>
      </c>
      <c r="J44" s="67">
        <f>+(J$24*$I44+$N$8-$N$13-$N$17)+'Wheat Dual  ~700Lb'!$G$37+'Wheat Dual  ~700Lb'!$G$42+$N$12-$N$49</f>
        <v>81.296905000000052</v>
      </c>
      <c r="K44" s="68">
        <f>+(K$24*$I44+$N$8-$N$13-$N$17)+'Wheat Dual  ~700Lb'!$G$37+'Wheat Dual  ~700Lb'!$G$42+$N$12-$N$49</f>
        <v>96.259405000000029</v>
      </c>
      <c r="L44" s="135">
        <f>+(L$24*$I44+$N$8-$N$13-$N$17)+'Wheat Dual  ~700Lb'!$G$37+'Wheat Dual  ~700Lb'!$G$42+$N$12-$N$49</f>
        <v>111.22190500000001</v>
      </c>
      <c r="M44" s="68">
        <f>+(M$24*$I44+$N$8-$N$13-$N$17)+'Wheat Dual  ~700Lb'!$G$37+'Wheat Dual  ~700Lb'!$G$42+$N$12-$N$49</f>
        <v>126.18440499999998</v>
      </c>
      <c r="N44" s="69">
        <f>+(N$24*$I44+$N$8-$N$13-$N$17)+'Wheat Dual  ~700Lb'!$G$37+'Wheat Dual  ~700Lb'!$G$42+$N$12-$N$49</f>
        <v>141.14690500000003</v>
      </c>
      <c r="P44" s="66">
        <f>+P45*0.9</f>
        <v>31.5</v>
      </c>
      <c r="Q44" s="67">
        <f>+(Q$24*$P44*$U$6+$U$8-$U$13-$U$17)+'Wheat Dual ~800Lb'!$G$37+'Wheat Dual ~800Lb'!$G$42+$U$12-$U$49*$U$6</f>
        <v>38.271280000000004</v>
      </c>
      <c r="R44" s="68">
        <f>+(R$24*$P44*$U$6+$U$8-$U$13-$U$17)+'Wheat Dual ~800Lb'!$G$37+'Wheat Dual ~800Lb'!$G$42+$U$12-$U$49*$U$6</f>
        <v>47.622842500000004</v>
      </c>
      <c r="S44" s="135">
        <f>+(S$24*$P44*$U$6+$U$8-$U$13-$U$17)+'Wheat Dual ~800Lb'!$G$37+'Wheat Dual ~800Lb'!$G$42+$U$12-$U$49*$U$6</f>
        <v>56.974405000000004</v>
      </c>
      <c r="T44" s="68">
        <f>+(T$24*$P44*$U$6+$U$8-$U$13-$U$17)+'Wheat Dual ~800Lb'!$G$37+'Wheat Dual ~800Lb'!$G$42+$U$12-$U$49*$U$6</f>
        <v>66.325967500000004</v>
      </c>
      <c r="U44" s="69">
        <f>+(U$24*$P44*$U$6+$U$8-$U$13-$U$17)+'Wheat Dual ~800Lb'!$G$37+'Wheat Dual ~800Lb'!$G$42+$U$12-$U$49*$U$6</f>
        <v>75.677530000000004</v>
      </c>
      <c r="W44" s="66">
        <f>+W45*0.95</f>
        <v>218.27833333333334</v>
      </c>
      <c r="X44" s="67">
        <f>+(X$24*$W44)-$AB$13-$AB$17+'Wheat Graze Out'!$G$37+'Wheat Graze Out'!$G$42</f>
        <v>-135.30901666666665</v>
      </c>
      <c r="Y44" s="68">
        <f>+(Y$24*$W44)-$AB$13-$AB$17+'Wheat Graze Out'!$G$37+'Wheat Graze Out'!$G$42</f>
        <v>-121.12092499999999</v>
      </c>
      <c r="Z44" s="135">
        <f>+(Z$24*$W44)-$AB$13-$AB$17+'Wheat Graze Out'!$G$37+'Wheat Graze Out'!$G$42</f>
        <v>-106.93283333333331</v>
      </c>
      <c r="AA44" s="68">
        <f>+(AA$24*$W44)-$AB$13-$AB$17+'Wheat Graze Out'!$G$37+'Wheat Graze Out'!$G$42</f>
        <v>-96.018916666666669</v>
      </c>
      <c r="AB44" s="69">
        <f>+(AB$24*$W44)-$AB$13-$AB$17+'Wheat Graze Out'!$G$37+'Wheat Graze Out'!$G$42</f>
        <v>-74.19108333333331</v>
      </c>
      <c r="AD44" s="66">
        <f>+AD45*0.95</f>
        <v>200.4972331460674</v>
      </c>
      <c r="AE44" s="67">
        <f t="shared" ref="AE44:AI47" si="5">+AE35</f>
        <v>2.0009862816827777</v>
      </c>
      <c r="AF44" s="68">
        <f t="shared" si="5"/>
        <v>22.050709596289515</v>
      </c>
      <c r="AG44" s="135">
        <f t="shared" si="5"/>
        <v>52.125294568199649</v>
      </c>
      <c r="AH44" s="68">
        <f t="shared" si="5"/>
        <v>62.150156225502997</v>
      </c>
      <c r="AI44" s="69">
        <f t="shared" si="5"/>
        <v>82.199879540109748</v>
      </c>
      <c r="AK44" s="66">
        <f>+AK45*0.95</f>
        <v>249.63896181384243</v>
      </c>
      <c r="AL44" s="67">
        <f t="shared" ref="AL44:AP47" si="6">+AL35</f>
        <v>-63.385731801909337</v>
      </c>
      <c r="AM44" s="68">
        <f t="shared" si="6"/>
        <v>-48.407394093078786</v>
      </c>
      <c r="AN44" s="135">
        <f t="shared" si="6"/>
        <v>-35.925446002386643</v>
      </c>
      <c r="AO44" s="68">
        <f t="shared" si="6"/>
        <v>1.5203982696896805</v>
      </c>
      <c r="AP44" s="69">
        <f t="shared" si="6"/>
        <v>26.484294451073936</v>
      </c>
    </row>
    <row r="45" spans="2:42" ht="15.75" thickBot="1" x14ac:dyDescent="0.3">
      <c r="B45" s="81">
        <f>+B36</f>
        <v>40</v>
      </c>
      <c r="C45" s="67">
        <f>+(C$24*$B45-$G$13-$G$17)+'Wheat Grain'!$G$37+'Wheat Grain'!$G$42+$G$12-$G$49</f>
        <v>89.692125000000019</v>
      </c>
      <c r="D45" s="133">
        <f>+(D$24*$B45-$G$13-$G$17)+'Wheat Grain'!$G$37+'Wheat Grain'!$G$42+$G$12-$G$49</f>
        <v>108.69212500000002</v>
      </c>
      <c r="E45" s="137">
        <f>+(E$24*$B45-$G$13-$G$17)+'Wheat Grain'!$G$37+'Wheat Grain'!$G$42+$G$12-$G$49</f>
        <v>127.69212500000002</v>
      </c>
      <c r="F45" s="134">
        <f>+(F$24*$B45-$G$13-$G$17)+'Wheat Grain'!$G$37+'Wheat Grain'!$G$42+$G$12-$G$49</f>
        <v>146.69212500000003</v>
      </c>
      <c r="G45" s="69">
        <f>+(G$24*$B45-$G$13-$G$17)+'Wheat Grain'!$G$37+'Wheat Grain'!$G$42+$G$12-$G$49</f>
        <v>165.69212500000009</v>
      </c>
      <c r="I45" s="81">
        <f>+I36</f>
        <v>35</v>
      </c>
      <c r="J45" s="67">
        <f>+(J$24*$I45+$N$8-$N$13-$N$17)+'Wheat Dual  ~700Lb'!$G$37+'Wheat Dual  ~700Lb'!$G$42+$N$12-$N$49</f>
        <v>111.22190500000001</v>
      </c>
      <c r="K45" s="133">
        <f>+(K$24*$I45+$N$8-$N$13-$N$17)+'Wheat Dual  ~700Lb'!$G$37+'Wheat Dual  ~700Lb'!$G$42+$N$12-$N$49</f>
        <v>127.84690500000001</v>
      </c>
      <c r="L45" s="137">
        <f>+(L$24*$I45+$N$8-$N$13-$N$17)+'Wheat Dual  ~700Lb'!$G$37+'Wheat Dual  ~700Lb'!$G$42+$N$12-$N$49</f>
        <v>144.47190500000002</v>
      </c>
      <c r="M45" s="134">
        <f>+(M$24*$I45+$N$8-$N$13-$N$17)+'Wheat Dual  ~700Lb'!$G$37+'Wheat Dual  ~700Lb'!$G$42+$N$12-$N$49</f>
        <v>161.09690500000002</v>
      </c>
      <c r="N45" s="69">
        <f>+(N$24*$I45+$N$8-$N$13-$N$17)+'Wheat Dual  ~700Lb'!$G$37+'Wheat Dual  ~700Lb'!$G$42+$N$12-$N$49</f>
        <v>177.72190500000008</v>
      </c>
      <c r="P45" s="81">
        <f>+P36</f>
        <v>35</v>
      </c>
      <c r="Q45" s="67">
        <f>+(Q$24*$P45*$U$6+$U$8-$U$13-$U$17)+'Wheat Dual ~800Lb'!$G$37+'Wheat Dual ~800Lb'!$G$42+$U$12-$U$49*$U$6</f>
        <v>56.974405000000004</v>
      </c>
      <c r="R45" s="133">
        <f>+(R$24*$P45*$U$6+$U$8-$U$13-$U$17)+'Wheat Dual ~800Lb'!$G$37+'Wheat Dual ~800Lb'!$G$42+$U$12-$U$49*$U$6</f>
        <v>67.365030000000004</v>
      </c>
      <c r="S45" s="137">
        <f>+(S$24*$P45*$U$6+$U$8-$U$13-$U$17)+'Wheat Dual ~800Lb'!$G$37+'Wheat Dual ~800Lb'!$G$42+$U$12-$U$49*$U$6</f>
        <v>77.755655000000004</v>
      </c>
      <c r="T45" s="134">
        <f>+(T$24*$P45*$U$6+$U$8-$U$13-$U$17)+'Wheat Dual ~800Lb'!$G$37+'Wheat Dual ~800Lb'!$G$42+$U$12-$U$49*$U$6</f>
        <v>88.146280000000004</v>
      </c>
      <c r="U45" s="69">
        <f>+(U$24*$P45*$U$6+$U$8-$U$13-$U$17)+'Wheat Dual ~800Lb'!$G$37+'Wheat Dual ~800Lb'!$G$42+$U$12-$U$49*$U$6</f>
        <v>98.536905000000004</v>
      </c>
      <c r="W45" s="81">
        <f>+W36</f>
        <v>229.76666666666668</v>
      </c>
      <c r="X45" s="67">
        <f>+(X$24*$W45)-$AB$13-$AB$17+'Wheat Graze Out'!$G$37+'Wheat Graze Out'!$G$42</f>
        <v>-129.33508333333333</v>
      </c>
      <c r="Y45" s="133">
        <f>+(Y$24*$W45)-$AB$13-$AB$17+'Wheat Graze Out'!$G$37+'Wheat Graze Out'!$G$42</f>
        <v>-114.40024999999996</v>
      </c>
      <c r="Z45" s="137">
        <f>+(Z$24*$W45)-$AB$13-$AB$17+'Wheat Graze Out'!$G$37+'Wheat Graze Out'!$G$42</f>
        <v>-99.465416666666627</v>
      </c>
      <c r="AA45" s="134">
        <f>+(AA$24*$W45)-$AB$13-$AB$17+'Wheat Graze Out'!$G$37+'Wheat Graze Out'!$G$42</f>
        <v>-87.977083333333312</v>
      </c>
      <c r="AB45" s="69">
        <f>+(AB$24*$W45)-$AB$13-$AB$17+'Wheat Graze Out'!$G$37+'Wheat Graze Out'!$G$42</f>
        <v>-65.000416666666624</v>
      </c>
      <c r="AD45" s="81">
        <f>+AD36</f>
        <v>211.0497191011236</v>
      </c>
      <c r="AE45" s="67">
        <f t="shared" si="5"/>
        <v>6.2219806637052599</v>
      </c>
      <c r="AF45" s="133">
        <f t="shared" si="5"/>
        <v>27.326952573817614</v>
      </c>
      <c r="AG45" s="137">
        <f t="shared" si="5"/>
        <v>58.984410438986174</v>
      </c>
      <c r="AH45" s="134">
        <f t="shared" si="5"/>
        <v>69.536896394042344</v>
      </c>
      <c r="AI45" s="69">
        <f t="shared" si="5"/>
        <v>90.641868304154713</v>
      </c>
      <c r="AK45" s="81">
        <f>+AK36</f>
        <v>262.77785454088678</v>
      </c>
      <c r="AL45" s="67">
        <f t="shared" si="6"/>
        <v>-57.604619002009819</v>
      </c>
      <c r="AM45" s="133">
        <f t="shared" si="6"/>
        <v>-41.83794772955661</v>
      </c>
      <c r="AN45" s="137">
        <f t="shared" si="6"/>
        <v>-28.69905500251226</v>
      </c>
      <c r="AO45" s="134">
        <f t="shared" si="6"/>
        <v>10.717623178620729</v>
      </c>
      <c r="AP45" s="69">
        <f t="shared" si="6"/>
        <v>36.995408632709434</v>
      </c>
    </row>
    <row r="46" spans="2:42" x14ac:dyDescent="0.25">
      <c r="B46" s="66">
        <f>+B45*1.1</f>
        <v>44</v>
      </c>
      <c r="C46" s="67">
        <f>+(C$24*$B46-$G$13-$G$17)+'Wheat Grain'!$G$37+'Wheat Grain'!$G$42+$G$12-$G$49</f>
        <v>123.89212500000006</v>
      </c>
      <c r="D46" s="68">
        <f>+(D$24*$B46-$G$13-$G$17)+'Wheat Grain'!$G$37+'Wheat Grain'!$G$42+$G$12-$G$49</f>
        <v>144.79212500000006</v>
      </c>
      <c r="E46" s="136">
        <f>+(E$24*$B46-$G$13-$G$17)+'Wheat Grain'!$G$37+'Wheat Grain'!$G$42+$G$12-$G$49</f>
        <v>165.69212500000003</v>
      </c>
      <c r="F46" s="68">
        <f>+(F$24*$B46-$G$13-$G$17)+'Wheat Grain'!$G$37+'Wheat Grain'!$G$42+$G$12-$G$49</f>
        <v>186.59212500000001</v>
      </c>
      <c r="G46" s="69">
        <f>+(G$24*$B46-$G$13-$G$17)+'Wheat Grain'!$G$37+'Wheat Grain'!$G$42+$G$12-$G$49</f>
        <v>207.4921250000001</v>
      </c>
      <c r="I46" s="66">
        <f>+I45*1.1</f>
        <v>38.5</v>
      </c>
      <c r="J46" s="67">
        <f>+(J$24*$I46+$N$8-$N$13-$N$17)+'Wheat Dual  ~700Lb'!$G$37+'Wheat Dual  ~700Lb'!$G$42+$N$12-$N$49</f>
        <v>141.14690500000003</v>
      </c>
      <c r="K46" s="68">
        <f>+(K$24*$I46+$N$8-$N$13-$N$17)+'Wheat Dual  ~700Lb'!$G$37+'Wheat Dual  ~700Lb'!$G$42+$N$12-$N$49</f>
        <v>159.43440500000005</v>
      </c>
      <c r="L46" s="136">
        <f>+(L$24*$I46+$N$8-$N$13-$N$17)+'Wheat Dual  ~700Lb'!$G$37+'Wheat Dual  ~700Lb'!$G$42+$N$12-$N$49</f>
        <v>177.72190500000002</v>
      </c>
      <c r="M46" s="68">
        <f>+(M$24*$I46+$N$8-$N$13-$N$17)+'Wheat Dual  ~700Lb'!$G$37+'Wheat Dual  ~700Lb'!$G$42+$N$12-$N$49</f>
        <v>196.00940499999996</v>
      </c>
      <c r="N46" s="69">
        <f>+(N$24*$I46+$N$8-$N$13-$N$17)+'Wheat Dual  ~700Lb'!$G$37+'Wheat Dual  ~700Lb'!$G$42+$N$12-$N$49</f>
        <v>214.29690500000004</v>
      </c>
      <c r="P46" s="66">
        <f>+P45*1.1</f>
        <v>38.5</v>
      </c>
      <c r="Q46" s="67">
        <f>+(Q$24*$P46*$U$6+$U$8-$U$13-$U$17)+'Wheat Dual ~800Lb'!$G$37+'Wheat Dual ~800Lb'!$G$42+$U$12-$U$49*$U$6</f>
        <v>75.677530000000004</v>
      </c>
      <c r="R46" s="68">
        <f>+(R$24*$P46*$U$6+$U$8-$U$13-$U$17)+'Wheat Dual ~800Lb'!$G$37+'Wheat Dual ~800Lb'!$G$42+$U$12-$U$49*$U$6</f>
        <v>87.107217500000004</v>
      </c>
      <c r="S46" s="136">
        <f>+(S$24*$P46*$U$6+$U$8-$U$13-$U$17)+'Wheat Dual ~800Lb'!$G$37+'Wheat Dual ~800Lb'!$G$42+$U$12-$U$49*$U$6</f>
        <v>98.536905000000004</v>
      </c>
      <c r="T46" s="68">
        <f>+(T$24*$P46*$U$6+$U$8-$U$13-$U$17)+'Wheat Dual ~800Lb'!$G$37+'Wheat Dual ~800Lb'!$G$42+$U$12-$U$49*$U$6</f>
        <v>109.9665925</v>
      </c>
      <c r="U46" s="69">
        <f>+(U$24*$P46*$U$6+$U$8-$U$13-$U$17)+'Wheat Dual ~800Lb'!$G$37+'Wheat Dual ~800Lb'!$G$42+$U$12-$U$49*$U$6</f>
        <v>121.39627999999999</v>
      </c>
      <c r="W46" s="66">
        <f>+W45*1.05</f>
        <v>241.25500000000002</v>
      </c>
      <c r="X46" s="67">
        <f>+(X$24*$W46)-$AB$13-$AB$17+'Wheat Graze Out'!$G$37+'Wheat Graze Out'!$G$42</f>
        <v>-123.36114999999997</v>
      </c>
      <c r="Y46" s="68">
        <f>+(Y$24*$W46)-$AB$13-$AB$17+'Wheat Graze Out'!$G$37+'Wheat Graze Out'!$G$42</f>
        <v>-107.67957499999996</v>
      </c>
      <c r="Z46" s="136">
        <f>+(Z$24*$W46)-$AB$13-$AB$17+'Wheat Graze Out'!$G$37+'Wheat Graze Out'!$G$42</f>
        <v>-91.997999999999976</v>
      </c>
      <c r="AA46" s="68">
        <f>+(AA$24*$W46)-$AB$13-$AB$17+'Wheat Graze Out'!$G$37+'Wheat Graze Out'!$G$42</f>
        <v>-79.935249999999982</v>
      </c>
      <c r="AB46" s="69">
        <f>+(AB$24*$W46)-$AB$13-$AB$17+'Wheat Graze Out'!$G$37+'Wheat Graze Out'!$G$42</f>
        <v>-55.809749999999966</v>
      </c>
      <c r="AD46" s="66">
        <f>+AD45*1.05</f>
        <v>221.6022050561798</v>
      </c>
      <c r="AE46" s="67">
        <f t="shared" si="5"/>
        <v>10.442975045727742</v>
      </c>
      <c r="AF46" s="68">
        <f t="shared" si="5"/>
        <v>32.603195551345713</v>
      </c>
      <c r="AG46" s="136">
        <f t="shared" si="5"/>
        <v>65.843526309772699</v>
      </c>
      <c r="AH46" s="68">
        <f t="shared" si="5"/>
        <v>76.923636562581663</v>
      </c>
      <c r="AI46" s="69">
        <f t="shared" si="5"/>
        <v>99.083857068199677</v>
      </c>
      <c r="AK46" s="66">
        <f>+AK45*1.05</f>
        <v>275.91674726793116</v>
      </c>
      <c r="AL46" s="67">
        <f t="shared" si="6"/>
        <v>-51.823506202110288</v>
      </c>
      <c r="AM46" s="68">
        <f t="shared" si="6"/>
        <v>-35.268501366034421</v>
      </c>
      <c r="AN46" s="136">
        <f t="shared" si="6"/>
        <v>-21.472664002637856</v>
      </c>
      <c r="AO46" s="68">
        <f t="shared" si="6"/>
        <v>19.914848087551803</v>
      </c>
      <c r="AP46" s="69">
        <f t="shared" si="6"/>
        <v>47.506522814344926</v>
      </c>
    </row>
    <row r="47" spans="2:42" ht="15.75" thickBot="1" x14ac:dyDescent="0.3">
      <c r="B47" s="70">
        <f>+B45*1.2</f>
        <v>48</v>
      </c>
      <c r="C47" s="71">
        <f>+(C$24*$B47-$G$13-$G$17)+'Wheat Grain'!$G$37+'Wheat Grain'!$G$42+$G$12-$G$49</f>
        <v>158.09212500000007</v>
      </c>
      <c r="D47" s="72">
        <f>+(D$24*$B47-$G$13-$G$17)+'Wheat Grain'!$G$37+'Wheat Grain'!$G$42+$G$12-$G$49</f>
        <v>180.89212500000008</v>
      </c>
      <c r="E47" s="72">
        <f>+(E$24*$B47-$G$13-$G$17)+'Wheat Grain'!$G$37+'Wheat Grain'!$G$42+$G$12-$G$49</f>
        <v>203.69212500000003</v>
      </c>
      <c r="F47" s="72">
        <f>+(F$24*$B47-$G$13-$G$17)+'Wheat Grain'!$G$37+'Wheat Grain'!$G$42+$G$12-$G$49</f>
        <v>226.49212499999999</v>
      </c>
      <c r="G47" s="73">
        <f>+(G$24*$B47-$G$13-$G$17)+'Wheat Grain'!$G$37+'Wheat Grain'!$G$42+$G$12-$G$49</f>
        <v>249.29212500000006</v>
      </c>
      <c r="I47" s="70">
        <f>+I45*1.2</f>
        <v>42</v>
      </c>
      <c r="J47" s="71">
        <f>+(J$24*$I47+$N$8-$N$13-$N$17)+'Wheat Dual  ~700Lb'!$G$37+'Wheat Dual  ~700Lb'!$G$42+$N$12-$N$49</f>
        <v>171.07190500000004</v>
      </c>
      <c r="K47" s="72">
        <f>+(K$24*$I47+$N$8-$N$13-$N$17)+'Wheat Dual  ~700Lb'!$G$37+'Wheat Dual  ~700Lb'!$G$42+$N$12-$N$49</f>
        <v>191.021905</v>
      </c>
      <c r="L47" s="72">
        <f>+(L$24*$I47+$N$8-$N$13-$N$17)+'Wheat Dual  ~700Lb'!$G$37+'Wheat Dual  ~700Lb'!$G$42+$N$12-$N$49</f>
        <v>210.97190499999999</v>
      </c>
      <c r="M47" s="72">
        <f>+(M$24*$I47+$N$8-$N$13-$N$17)+'Wheat Dual  ~700Lb'!$G$37+'Wheat Dual  ~700Lb'!$G$42+$N$12-$N$49</f>
        <v>230.92190499999998</v>
      </c>
      <c r="N47" s="73">
        <f>+(N$24*$I47+$N$8-$N$13-$N$17)+'Wheat Dual  ~700Lb'!$G$37+'Wheat Dual  ~700Lb'!$G$42+$N$12-$N$49</f>
        <v>250.87190500000008</v>
      </c>
      <c r="P47" s="70">
        <f>+P45*1.2</f>
        <v>42</v>
      </c>
      <c r="Q47" s="71">
        <f>+(Q$24*$P47*$U$6+$U$8-$U$13-$U$17)+'Wheat Dual ~800Lb'!$G$37+'Wheat Dual ~800Lb'!$G$42+$U$12-$U$49*$U$6</f>
        <v>94.380655000000004</v>
      </c>
      <c r="R47" s="72">
        <f>+(R$24*$P47*$U$6+$U$8-$U$13-$U$17)+'Wheat Dual ~800Lb'!$G$37+'Wheat Dual ~800Lb'!$G$42+$U$12-$U$49*$U$6</f>
        <v>106.849405</v>
      </c>
      <c r="S47" s="72">
        <f>+(S$24*$P47*$U$6+$U$8-$U$13-$U$17)+'Wheat Dual ~800Lb'!$G$37+'Wheat Dual ~800Lb'!$G$42+$U$12-$U$49*$U$6</f>
        <v>119.31815499999999</v>
      </c>
      <c r="T47" s="72">
        <f>+(T$24*$P47*$U$6+$U$8-$U$13-$U$17)+'Wheat Dual ~800Lb'!$G$37+'Wheat Dual ~800Lb'!$G$42+$U$12-$U$49*$U$6</f>
        <v>131.78690499999999</v>
      </c>
      <c r="U47" s="73">
        <f>+(U$24*$P47*$U$6+$U$8-$U$13-$U$17)+'Wheat Dual ~800Lb'!$G$37+'Wheat Dual ~800Lb'!$G$42+$U$12-$U$49*$U$6</f>
        <v>144.25565499999999</v>
      </c>
      <c r="W47" s="70">
        <f>+W46*1.1</f>
        <v>265.38050000000004</v>
      </c>
      <c r="X47" s="71">
        <f>+(X$24*$W47)-$AB$13-$AB$17+'Wheat Graze Out'!$G$37+'Wheat Graze Out'!$G$42</f>
        <v>-110.81588999999995</v>
      </c>
      <c r="Y47" s="72">
        <f>+(Y$24*$W47)-$AB$13-$AB$17+'Wheat Graze Out'!$G$37+'Wheat Graze Out'!$G$42</f>
        <v>-93.566157499999932</v>
      </c>
      <c r="Z47" s="72">
        <f>+(Z$24*$W47)-$AB$13-$AB$17+'Wheat Graze Out'!$G$37+'Wheat Graze Out'!$G$42</f>
        <v>-76.316424999999938</v>
      </c>
      <c r="AA47" s="72">
        <f>+(AA$24*$W47)-$AB$13-$AB$17+'Wheat Graze Out'!$G$37+'Wheat Graze Out'!$G$42</f>
        <v>-63.047399999999968</v>
      </c>
      <c r="AB47" s="73">
        <f>+(AB$24*$W47)-$AB$13-$AB$17+'Wheat Graze Out'!$G$37+'Wheat Graze Out'!$G$42</f>
        <v>-36.509349999999941</v>
      </c>
      <c r="AD47" s="70">
        <f>+AD46*1.1</f>
        <v>243.76242556179778</v>
      </c>
      <c r="AE47" s="71">
        <f t="shared" si="5"/>
        <v>19.307063247974931</v>
      </c>
      <c r="AF47" s="72">
        <f t="shared" si="5"/>
        <v>43.683305804154713</v>
      </c>
      <c r="AG47" s="72">
        <f t="shared" si="5"/>
        <v>80.247669638424384</v>
      </c>
      <c r="AH47" s="72">
        <f t="shared" si="5"/>
        <v>92.435790916514264</v>
      </c>
      <c r="AI47" s="73">
        <f t="shared" si="5"/>
        <v>116.81203347269405</v>
      </c>
      <c r="AK47" s="70">
        <f>+AK46*1.1</f>
        <v>303.5084219947243</v>
      </c>
      <c r="AL47" s="71">
        <f t="shared" si="6"/>
        <v>-39.683169322321298</v>
      </c>
      <c r="AM47" s="72">
        <f t="shared" si="6"/>
        <v>-21.472664002637856</v>
      </c>
      <c r="AN47" s="72">
        <f t="shared" si="6"/>
        <v>-6.2972429029016137</v>
      </c>
      <c r="AO47" s="72">
        <f t="shared" si="6"/>
        <v>39.229020396307</v>
      </c>
      <c r="AP47" s="73">
        <f t="shared" si="6"/>
        <v>69.579862595779446</v>
      </c>
    </row>
    <row r="48" spans="2:42" ht="15.75" thickTop="1" x14ac:dyDescent="0.25"/>
    <row r="49" spans="2:42" x14ac:dyDescent="0.25">
      <c r="B49" s="1" t="s">
        <v>115</v>
      </c>
      <c r="G49" s="93">
        <v>16.2</v>
      </c>
      <c r="I49" s="1" t="s">
        <v>115</v>
      </c>
      <c r="N49" s="93">
        <v>16.2</v>
      </c>
      <c r="P49" s="1" t="s">
        <v>115</v>
      </c>
      <c r="U49" s="93">
        <v>16.2</v>
      </c>
      <c r="W49" s="1" t="s">
        <v>115</v>
      </c>
      <c r="AB49" s="93">
        <v>16.2</v>
      </c>
      <c r="AD49" s="1" t="s">
        <v>115</v>
      </c>
      <c r="AI49" s="93">
        <v>16.2</v>
      </c>
      <c r="AK49" s="1" t="s">
        <v>115</v>
      </c>
      <c r="AP49" s="93">
        <v>16.2</v>
      </c>
    </row>
  </sheetData>
  <mergeCells count="40">
    <mergeCell ref="AK22:AP22"/>
    <mergeCell ref="B2:G2"/>
    <mergeCell ref="I2:N2"/>
    <mergeCell ref="P2:U2"/>
    <mergeCell ref="W2:AB2"/>
    <mergeCell ref="AD2:AI2"/>
    <mergeCell ref="AK2:AP2"/>
    <mergeCell ref="B22:G22"/>
    <mergeCell ref="I22:N22"/>
    <mergeCell ref="P22:U22"/>
    <mergeCell ref="W22:AB22"/>
    <mergeCell ref="AD22:AI22"/>
    <mergeCell ref="AL32:AP32"/>
    <mergeCell ref="C23:G23"/>
    <mergeCell ref="X23:AB23"/>
    <mergeCell ref="AE23:AI23"/>
    <mergeCell ref="AL23:AP23"/>
    <mergeCell ref="B31:G31"/>
    <mergeCell ref="I31:N31"/>
    <mergeCell ref="P31:U31"/>
    <mergeCell ref="W31:AB31"/>
    <mergeCell ref="AD31:AI31"/>
    <mergeCell ref="AK31:AP31"/>
    <mergeCell ref="C32:G32"/>
    <mergeCell ref="J32:N32"/>
    <mergeCell ref="Q32:U32"/>
    <mergeCell ref="X32:AB32"/>
    <mergeCell ref="AE32:AI32"/>
    <mergeCell ref="AL41:AP41"/>
    <mergeCell ref="B40:G40"/>
    <mergeCell ref="I40:N40"/>
    <mergeCell ref="P40:U40"/>
    <mergeCell ref="W40:AB40"/>
    <mergeCell ref="AD40:AI40"/>
    <mergeCell ref="AK40:AP40"/>
    <mergeCell ref="C41:G41"/>
    <mergeCell ref="J41:N41"/>
    <mergeCell ref="Q41:U41"/>
    <mergeCell ref="X41:AB41"/>
    <mergeCell ref="AE41:AI41"/>
  </mergeCells>
  <conditionalFormatting sqref="C25:G29">
    <cfRule type="colorScale" priority="83">
      <colorScale>
        <cfvo type="min"/>
        <cfvo type="max"/>
        <color theme="0" tint="-4.9989318521683403E-2"/>
        <color theme="0" tint="-0.34998626667073579"/>
      </colorScale>
    </cfRule>
    <cfRule type="colorScale" priority="84">
      <colorScale>
        <cfvo type="min"/>
        <cfvo type="max"/>
        <color rgb="FFFCFCFF"/>
        <color rgb="FF63BE7B"/>
      </colorScale>
    </cfRule>
  </conditionalFormatting>
  <conditionalFormatting sqref="Q25:U29">
    <cfRule type="colorScale" priority="81">
      <colorScale>
        <cfvo type="min"/>
        <cfvo type="max"/>
        <color theme="0" tint="-4.9989318521683403E-2"/>
        <color theme="0" tint="-0.34998626667073579"/>
      </colorScale>
    </cfRule>
    <cfRule type="colorScale" priority="82">
      <colorScale>
        <cfvo type="min"/>
        <cfvo type="max"/>
        <color rgb="FFFCFCFF"/>
        <color rgb="FF63BE7B"/>
      </colorScale>
    </cfRule>
  </conditionalFormatting>
  <conditionalFormatting sqref="X25:AB29">
    <cfRule type="colorScale" priority="79">
      <colorScale>
        <cfvo type="min"/>
        <cfvo type="max"/>
        <color theme="0" tint="-4.9989318521683403E-2"/>
        <color theme="0" tint="-0.34998626667073579"/>
      </colorScale>
    </cfRule>
    <cfRule type="colorScale" priority="80">
      <colorScale>
        <cfvo type="min"/>
        <cfvo type="max"/>
        <color rgb="FFFCFCFF"/>
        <color rgb="FF63BE7B"/>
      </colorScale>
    </cfRule>
  </conditionalFormatting>
  <conditionalFormatting sqref="C34:G39">
    <cfRule type="colorScale" priority="85">
      <colorScale>
        <cfvo type="min"/>
        <cfvo type="max"/>
        <color theme="0" tint="-4.9989318521683403E-2"/>
        <color theme="0" tint="-0.34998626667073579"/>
      </colorScale>
    </cfRule>
    <cfRule type="colorScale" priority="86">
      <colorScale>
        <cfvo type="min"/>
        <cfvo type="max"/>
        <color rgb="FFFCFCFF"/>
        <color rgb="FF63BE7B"/>
      </colorScale>
    </cfRule>
  </conditionalFormatting>
  <conditionalFormatting sqref="Q34:U39">
    <cfRule type="colorScale" priority="87">
      <colorScale>
        <cfvo type="min"/>
        <cfvo type="max"/>
        <color theme="0" tint="-4.9989318521683403E-2"/>
        <color theme="0" tint="-0.34998626667073579"/>
      </colorScale>
    </cfRule>
    <cfRule type="colorScale" priority="88">
      <colorScale>
        <cfvo type="min"/>
        <cfvo type="max"/>
        <color rgb="FFFCFCFF"/>
        <color rgb="FF63BE7B"/>
      </colorScale>
    </cfRule>
  </conditionalFormatting>
  <conditionalFormatting sqref="X34:AB39">
    <cfRule type="colorScale" priority="89">
      <colorScale>
        <cfvo type="min"/>
        <cfvo type="max"/>
        <color theme="0" tint="-4.9989318521683403E-2"/>
        <color theme="0" tint="-0.34998626667073579"/>
      </colorScale>
    </cfRule>
    <cfRule type="colorScale" priority="90">
      <colorScale>
        <cfvo type="min"/>
        <cfvo type="max"/>
        <color rgb="FFFCFCFF"/>
        <color rgb="FF63BE7B"/>
      </colorScale>
    </cfRule>
  </conditionalFormatting>
  <conditionalFormatting sqref="C43:G47">
    <cfRule type="colorScale" priority="77">
      <colorScale>
        <cfvo type="min"/>
        <cfvo type="max"/>
        <color theme="0" tint="-4.9989318521683403E-2"/>
        <color theme="0" tint="-0.34998626667073579"/>
      </colorScale>
    </cfRule>
    <cfRule type="colorScale" priority="78">
      <colorScale>
        <cfvo type="min"/>
        <cfvo type="max"/>
        <color rgb="FFFCFCFF"/>
        <color rgb="FF63BE7B"/>
      </colorScale>
    </cfRule>
  </conditionalFormatting>
  <conditionalFormatting sqref="Q43:U47">
    <cfRule type="colorScale" priority="75">
      <colorScale>
        <cfvo type="min"/>
        <cfvo type="max"/>
        <color theme="0" tint="-4.9989318521683403E-2"/>
        <color theme="0" tint="-0.34998626667073579"/>
      </colorScale>
    </cfRule>
    <cfRule type="colorScale" priority="76">
      <colorScale>
        <cfvo type="min"/>
        <cfvo type="max"/>
        <color rgb="FFFCFCFF"/>
        <color rgb="FF63BE7B"/>
      </colorScale>
    </cfRule>
  </conditionalFormatting>
  <conditionalFormatting sqref="X43:AB47">
    <cfRule type="colorScale" priority="73">
      <colorScale>
        <cfvo type="min"/>
        <cfvo type="max"/>
        <color theme="0" tint="-4.9989318521683403E-2"/>
        <color theme="0" tint="-0.34998626667073579"/>
      </colorScale>
    </cfRule>
    <cfRule type="colorScale" priority="74">
      <colorScale>
        <cfvo type="min"/>
        <cfvo type="max"/>
        <color rgb="FFFCFCFF"/>
        <color rgb="FF63BE7B"/>
      </colorScale>
    </cfRule>
  </conditionalFormatting>
  <conditionalFormatting sqref="J25:N29">
    <cfRule type="colorScale" priority="69">
      <colorScale>
        <cfvo type="min"/>
        <cfvo type="max"/>
        <color theme="0" tint="-4.9989318521683403E-2"/>
        <color theme="0" tint="-0.34998626667073579"/>
      </colorScale>
    </cfRule>
    <cfRule type="colorScale" priority="70">
      <colorScale>
        <cfvo type="min"/>
        <cfvo type="max"/>
        <color rgb="FFFCFCFF"/>
        <color rgb="FF63BE7B"/>
      </colorScale>
    </cfRule>
  </conditionalFormatting>
  <conditionalFormatting sqref="J34:N39">
    <cfRule type="colorScale" priority="71">
      <colorScale>
        <cfvo type="min"/>
        <cfvo type="max"/>
        <color theme="0" tint="-4.9989318521683403E-2"/>
        <color theme="0" tint="-0.34998626667073579"/>
      </colorScale>
    </cfRule>
    <cfRule type="colorScale" priority="72">
      <colorScale>
        <cfvo type="min"/>
        <cfvo type="max"/>
        <color rgb="FFFCFCFF"/>
        <color rgb="FF63BE7B"/>
      </colorScale>
    </cfRule>
  </conditionalFormatting>
  <conditionalFormatting sqref="J43:N47">
    <cfRule type="colorScale" priority="67">
      <colorScale>
        <cfvo type="min"/>
        <cfvo type="max"/>
        <color theme="0" tint="-4.9989318521683403E-2"/>
        <color theme="0" tint="-0.34998626667073579"/>
      </colorScale>
    </cfRule>
    <cfRule type="colorScale" priority="68">
      <colorScale>
        <cfvo type="min"/>
        <cfvo type="max"/>
        <color rgb="FFFCFCFF"/>
        <color rgb="FF63BE7B"/>
      </colorScale>
    </cfRule>
  </conditionalFormatting>
  <conditionalFormatting sqref="AE39:AI39">
    <cfRule type="colorScale" priority="65">
      <colorScale>
        <cfvo type="min"/>
        <cfvo type="max"/>
        <color theme="0" tint="-4.9989318521683403E-2"/>
        <color theme="0" tint="-0.34998626667073579"/>
      </colorScale>
    </cfRule>
    <cfRule type="colorScale" priority="66">
      <colorScale>
        <cfvo type="min"/>
        <cfvo type="max"/>
        <color rgb="FFFCFCFF"/>
        <color rgb="FF63BE7B"/>
      </colorScale>
    </cfRule>
  </conditionalFormatting>
  <conditionalFormatting sqref="AE25:AI29">
    <cfRule type="colorScale" priority="63">
      <colorScale>
        <cfvo type="min"/>
        <cfvo type="max"/>
        <color theme="0" tint="-4.9989318521683403E-2"/>
        <color theme="0" tint="-0.34998626667073579"/>
      </colorScale>
    </cfRule>
    <cfRule type="colorScale" priority="64">
      <colorScale>
        <cfvo type="min"/>
        <cfvo type="max"/>
        <color rgb="FFFCFCFF"/>
        <color rgb="FF63BE7B"/>
      </colorScale>
    </cfRule>
  </conditionalFormatting>
  <conditionalFormatting sqref="AE34:AI38">
    <cfRule type="colorScale" priority="61">
      <colorScale>
        <cfvo type="min"/>
        <cfvo type="max"/>
        <color theme="0" tint="-4.9989318521683403E-2"/>
        <color theme="0" tint="-0.34998626667073579"/>
      </colorScale>
    </cfRule>
    <cfRule type="colorScale" priority="62">
      <colorScale>
        <cfvo type="min"/>
        <cfvo type="max"/>
        <color rgb="FFFCFCFF"/>
        <color rgb="FF63BE7B"/>
      </colorScale>
    </cfRule>
  </conditionalFormatting>
  <conditionalFormatting sqref="AE43:AI47">
    <cfRule type="colorScale" priority="59">
      <colorScale>
        <cfvo type="min"/>
        <cfvo type="max"/>
        <color theme="0" tint="-4.9989318521683403E-2"/>
        <color theme="0" tint="-0.34998626667073579"/>
      </colorScale>
    </cfRule>
    <cfRule type="colorScale" priority="60">
      <colorScale>
        <cfvo type="min"/>
        <cfvo type="max"/>
        <color rgb="FFFCFCFF"/>
        <color rgb="FF63BE7B"/>
      </colorScale>
    </cfRule>
  </conditionalFormatting>
  <conditionalFormatting sqref="C25:G29 J25:N29 Q25:U29 X25:AB29 AE25:AI29">
    <cfRule type="colorScale" priority="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4:G38 J34:N38 Q34:U38 AE34:AI38 X34:AB38">
    <cfRule type="colorScale" priority="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3:G47 J43:N47 Q43:U47 X43:AB47 AE43:AI47">
    <cfRule type="colorScale" priority="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34:AI38">
    <cfRule type="colorScale" priority="55">
      <colorScale>
        <cfvo type="min"/>
        <cfvo type="max"/>
        <color theme="0" tint="-4.9989318521683403E-2"/>
        <color theme="0" tint="-0.34998626667073579"/>
      </colorScale>
    </cfRule>
    <cfRule type="colorScale" priority="56">
      <colorScale>
        <cfvo type="min"/>
        <cfvo type="max"/>
        <color rgb="FFFCFCFF"/>
        <color rgb="FF63BE7B"/>
      </colorScale>
    </cfRule>
  </conditionalFormatting>
  <conditionalFormatting sqref="AE34:AI38">
    <cfRule type="colorScale" priority="53">
      <colorScale>
        <cfvo type="min"/>
        <cfvo type="max"/>
        <color theme="0" tint="-4.9989318521683403E-2"/>
        <color theme="0" tint="-0.34998626667073579"/>
      </colorScale>
    </cfRule>
    <cfRule type="colorScale" priority="54">
      <colorScale>
        <cfvo type="min"/>
        <cfvo type="max"/>
        <color rgb="FFFCFCFF"/>
        <color rgb="FF63BE7B"/>
      </colorScale>
    </cfRule>
  </conditionalFormatting>
  <conditionalFormatting sqref="AL39:AP39">
    <cfRule type="colorScale" priority="50">
      <colorScale>
        <cfvo type="min"/>
        <cfvo type="max"/>
        <color theme="0" tint="-4.9989318521683403E-2"/>
        <color theme="0" tint="-0.34998626667073579"/>
      </colorScale>
    </cfRule>
    <cfRule type="colorScale" priority="51">
      <colorScale>
        <cfvo type="min"/>
        <cfvo type="max"/>
        <color rgb="FFFCFCFF"/>
        <color rgb="FF63BE7B"/>
      </colorScale>
    </cfRule>
  </conditionalFormatting>
  <conditionalFormatting sqref="AL43:AP47">
    <cfRule type="colorScale" priority="48">
      <colorScale>
        <cfvo type="min"/>
        <cfvo type="max"/>
        <color theme="0" tint="-4.9989318521683403E-2"/>
        <color theme="0" tint="-0.34998626667073579"/>
      </colorScale>
    </cfRule>
    <cfRule type="colorScale" priority="49">
      <colorScale>
        <cfvo type="min"/>
        <cfvo type="max"/>
        <color rgb="FFFCFCFF"/>
        <color rgb="FF63BE7B"/>
      </colorScale>
    </cfRule>
  </conditionalFormatting>
  <conditionalFormatting sqref="AL43:AP47">
    <cfRule type="colorScale" priority="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L34:AP38">
    <cfRule type="colorScale" priority="42">
      <colorScale>
        <cfvo type="min"/>
        <cfvo type="max"/>
        <color theme="0" tint="-4.9989318521683403E-2"/>
        <color theme="0" tint="-0.34998626667073579"/>
      </colorScale>
    </cfRule>
    <cfRule type="colorScale" priority="43">
      <colorScale>
        <cfvo type="min"/>
        <cfvo type="max"/>
        <color rgb="FFFCFCFF"/>
        <color rgb="FF63BE7B"/>
      </colorScale>
    </cfRule>
  </conditionalFormatting>
  <conditionalFormatting sqref="AL34:AP38">
    <cfRule type="colorScale" priority="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L34:AP38"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L43:AP47">
    <cfRule type="colorScale" priority="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4:G38 J34:N38 Q34:U38 AE34:AI38 AL34:AP38 X34:AB38">
    <cfRule type="colorScale" priority="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5:AB29">
    <cfRule type="colorScale" priority="35">
      <colorScale>
        <cfvo type="min"/>
        <cfvo type="max"/>
        <color theme="0" tint="-4.9989318521683403E-2"/>
        <color theme="0" tint="-0.34998626667073579"/>
      </colorScale>
    </cfRule>
    <cfRule type="colorScale" priority="36">
      <colorScale>
        <cfvo type="min"/>
        <cfvo type="max"/>
        <color rgb="FFFCFCFF"/>
        <color rgb="FF63BE7B"/>
      </colorScale>
    </cfRule>
  </conditionalFormatting>
  <conditionalFormatting sqref="AE25:AI29">
    <cfRule type="colorScale" priority="33">
      <colorScale>
        <cfvo type="min"/>
        <cfvo type="max"/>
        <color theme="0" tint="-4.9989318521683403E-2"/>
        <color theme="0" tint="-0.34998626667073579"/>
      </colorScale>
    </cfRule>
    <cfRule type="colorScale" priority="34">
      <colorScale>
        <cfvo type="min"/>
        <cfvo type="max"/>
        <color rgb="FFFCFCFF"/>
        <color rgb="FF63BE7B"/>
      </colorScale>
    </cfRule>
  </conditionalFormatting>
  <conditionalFormatting sqref="AE25:AI29">
    <cfRule type="colorScale" priority="31">
      <colorScale>
        <cfvo type="min"/>
        <cfvo type="max"/>
        <color theme="0" tint="-4.9989318521683403E-2"/>
        <color theme="0" tint="-0.34998626667073579"/>
      </colorScale>
    </cfRule>
    <cfRule type="colorScale" priority="32">
      <colorScale>
        <cfvo type="min"/>
        <cfvo type="max"/>
        <color rgb="FFFCFCFF"/>
        <color rgb="FF63BE7B"/>
      </colorScale>
    </cfRule>
  </conditionalFormatting>
  <conditionalFormatting sqref="AL25:AP29">
    <cfRule type="colorScale" priority="29">
      <colorScale>
        <cfvo type="min"/>
        <cfvo type="max"/>
        <color theme="0" tint="-4.9989318521683403E-2"/>
        <color theme="0" tint="-0.34998626667073579"/>
      </colorScale>
    </cfRule>
    <cfRule type="colorScale" priority="30">
      <colorScale>
        <cfvo type="min"/>
        <cfvo type="max"/>
        <color rgb="FFFCFCFF"/>
        <color rgb="FF63BE7B"/>
      </colorScale>
    </cfRule>
  </conditionalFormatting>
  <conditionalFormatting sqref="AL25:AP29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L25:AP29">
    <cfRule type="colorScale" priority="26">
      <colorScale>
        <cfvo type="min"/>
        <cfvo type="max"/>
        <color theme="0" tint="-4.9989318521683403E-2"/>
        <color theme="0" tint="-0.34998626667073579"/>
      </colorScale>
    </cfRule>
    <cfRule type="colorScale" priority="27">
      <colorScale>
        <cfvo type="min"/>
        <cfvo type="max"/>
        <color rgb="FFFCFCFF"/>
        <color rgb="FF63BE7B"/>
      </colorScale>
    </cfRule>
  </conditionalFormatting>
  <conditionalFormatting sqref="AL25:AP29">
    <cfRule type="colorScale" priority="24">
      <colorScale>
        <cfvo type="min"/>
        <cfvo type="max"/>
        <color theme="0" tint="-4.9989318521683403E-2"/>
        <color theme="0" tint="-0.34998626667073579"/>
      </colorScale>
    </cfRule>
    <cfRule type="colorScale" priority="25">
      <colorScale>
        <cfvo type="min"/>
        <cfvo type="max"/>
        <color rgb="FFFCFCFF"/>
        <color rgb="FF63BE7B"/>
      </colorScale>
    </cfRule>
  </conditionalFormatting>
  <conditionalFormatting sqref="C25:G29 J25:N29 Q25:U29 X25:AB29 AE25:AI29 AL25:AP29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5:AB29">
    <cfRule type="colorScale" priority="21">
      <colorScale>
        <cfvo type="min"/>
        <cfvo type="max"/>
        <color theme="0" tint="-4.9989318521683403E-2"/>
        <color theme="0" tint="-0.34998626667073579"/>
      </colorScale>
    </cfRule>
    <cfRule type="colorScale" priority="22">
      <colorScale>
        <cfvo type="min"/>
        <cfvo type="max"/>
        <color rgb="FFFCFCFF"/>
        <color rgb="FF63BE7B"/>
      </colorScale>
    </cfRule>
  </conditionalFormatting>
  <conditionalFormatting sqref="AE25:AI29">
    <cfRule type="colorScale" priority="19">
      <colorScale>
        <cfvo type="min"/>
        <cfvo type="max"/>
        <color theme="0" tint="-4.9989318521683403E-2"/>
        <color theme="0" tint="-0.34998626667073579"/>
      </colorScale>
    </cfRule>
    <cfRule type="colorScale" priority="20">
      <colorScale>
        <cfvo type="min"/>
        <cfvo type="max"/>
        <color rgb="FFFCFCFF"/>
        <color rgb="FF63BE7B"/>
      </colorScale>
    </cfRule>
  </conditionalFormatting>
  <conditionalFormatting sqref="AE25:AI29">
    <cfRule type="colorScale" priority="17">
      <colorScale>
        <cfvo type="min"/>
        <cfvo type="max"/>
        <color theme="0" tint="-4.9989318521683403E-2"/>
        <color theme="0" tint="-0.34998626667073579"/>
      </colorScale>
    </cfRule>
    <cfRule type="colorScale" priority="18">
      <colorScale>
        <cfvo type="min"/>
        <cfvo type="max"/>
        <color rgb="FFFCFCFF"/>
        <color rgb="FF63BE7B"/>
      </colorScale>
    </cfRule>
  </conditionalFormatting>
  <conditionalFormatting sqref="AE25:AI29">
    <cfRule type="colorScale" priority="15">
      <colorScale>
        <cfvo type="min"/>
        <cfvo type="max"/>
        <color theme="0" tint="-4.9989318521683403E-2"/>
        <color theme="0" tint="-0.34998626667073579"/>
      </colorScale>
    </cfRule>
    <cfRule type="colorScale" priority="16">
      <colorScale>
        <cfvo type="min"/>
        <cfvo type="max"/>
        <color rgb="FFFCFCFF"/>
        <color rgb="FF63BE7B"/>
      </colorScale>
    </cfRule>
  </conditionalFormatting>
  <conditionalFormatting sqref="AL25:AP29">
    <cfRule type="colorScale" priority="13">
      <colorScale>
        <cfvo type="min"/>
        <cfvo type="max"/>
        <color theme="0" tint="-4.9989318521683403E-2"/>
        <color theme="0" tint="-0.34998626667073579"/>
      </colorScale>
    </cfRule>
    <cfRule type="colorScale" priority="14">
      <colorScale>
        <cfvo type="min"/>
        <cfvo type="max"/>
        <color rgb="FFFCFCFF"/>
        <color rgb="FF63BE7B"/>
      </colorScale>
    </cfRule>
  </conditionalFormatting>
  <conditionalFormatting sqref="AL25:AP29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L25:AP29">
    <cfRule type="colorScale" priority="10">
      <colorScale>
        <cfvo type="min"/>
        <cfvo type="max"/>
        <color theme="0" tint="-4.9989318521683403E-2"/>
        <color theme="0" tint="-0.34998626667073579"/>
      </colorScale>
    </cfRule>
    <cfRule type="colorScale" priority="11">
      <colorScale>
        <cfvo type="min"/>
        <cfvo type="max"/>
        <color rgb="FFFCFCFF"/>
        <color rgb="FF63BE7B"/>
      </colorScale>
    </cfRule>
  </conditionalFormatting>
  <conditionalFormatting sqref="AL25:AP29">
    <cfRule type="colorScale" priority="8">
      <colorScale>
        <cfvo type="min"/>
        <cfvo type="max"/>
        <color theme="0" tint="-4.9989318521683403E-2"/>
        <color theme="0" tint="-0.34998626667073579"/>
      </colorScale>
    </cfRule>
    <cfRule type="colorScale" priority="9">
      <colorScale>
        <cfvo type="min"/>
        <cfvo type="max"/>
        <color rgb="FFFCFCFF"/>
        <color rgb="FF63BE7B"/>
      </colorScale>
    </cfRule>
  </conditionalFormatting>
  <conditionalFormatting sqref="AL25:AP29">
    <cfRule type="colorScale" priority="6">
      <colorScale>
        <cfvo type="min"/>
        <cfvo type="max"/>
        <color theme="0" tint="-4.9989318521683403E-2"/>
        <color theme="0" tint="-0.34998626667073579"/>
      </colorScale>
    </cfRule>
    <cfRule type="colorScale" priority="7">
      <colorScale>
        <cfvo type="min"/>
        <cfvo type="max"/>
        <color rgb="FFFCFCFF"/>
        <color rgb="FF63BE7B"/>
      </colorScale>
    </cfRule>
  </conditionalFormatting>
  <conditionalFormatting sqref="AL25:AP29">
    <cfRule type="colorScale" priority="4">
      <colorScale>
        <cfvo type="min"/>
        <cfvo type="max"/>
        <color theme="0" tint="-4.9989318521683403E-2"/>
        <color theme="0" tint="-0.34998626667073579"/>
      </colorScale>
    </cfRule>
    <cfRule type="colorScale" priority="5">
      <colorScale>
        <cfvo type="min"/>
        <cfvo type="max"/>
        <color rgb="FFFCFCFF"/>
        <color rgb="FF63BE7B"/>
      </colorScale>
    </cfRule>
  </conditionalFormatting>
  <conditionalFormatting sqref="AL25:AP29">
    <cfRule type="colorScale" priority="2">
      <colorScale>
        <cfvo type="min"/>
        <cfvo type="max"/>
        <color theme="0" tint="-4.9989318521683403E-2"/>
        <color theme="0" tint="-0.34998626667073579"/>
      </colorScale>
    </cfRule>
    <cfRule type="colorScale" priority="3">
      <colorScale>
        <cfvo type="min"/>
        <cfvo type="max"/>
        <color rgb="FFFCFCFF"/>
        <color rgb="FF63BE7B"/>
      </colorScale>
    </cfRule>
  </conditionalFormatting>
  <conditionalFormatting sqref="C25:G29 J25:N29 Q25:U29 X25:AB29 AE25:AI29 AL25:AP2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U N l T 8 u 9 i V + n A A A A + Q A A A B I A H A B D b 2 5 m a W c v U G F j a 2 F n Z S 5 4 b W w g o h g A K K A U A A A A A A A A A A A A A A A A A A A A A A A A A A A A h Y 8 x D o I w G E a v Q r r T l h K r I T 9 l c J X E h G h c G 6 z Q C M X Q Y r m b g 0 f y C p I o 6 u b 4 v b z h f Y / b H b K x b Y K r 6 q 3 u T I o i T F G g T N k d t a l S N L h T u E K Z g K 0 s z 7 J S w S Q b m 4 z 2 m K L a u U t C i P c e + x h 3 f U U Y p R E 5 5 J u i r F U r 0 U f W / + V Q G + u k K R U S s H / F C I Y 5 x 4 t 4 y X H E G Q M y c 8 i 1 + T p s S s Y U y A + E 9 d C 4 o V d C m X B X A J k n k P c N 8 Q R Q S w M E F A A C A A g A R U N l T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D Z U 8 o i k e 4 D g A A A B E A A A A T A B w A R m 9 y b X V s Y X M v U 2 V j d G l v b j E u b S C i G A A o o B Q A A A A A A A A A A A A A A A A A A A A A A A A A A A A r T k 0 u y c z P U w i G 0 I b W A F B L A Q I t A B Q A A g A I A E V D Z U / L v Y l f p w A A A P k A A A A S A A A A A A A A A A A A A A A A A A A A A A B D b 2 5 m a W c v U G F j a 2 F n Z S 5 4 b W x Q S w E C L Q A U A A I A C A B F Q 2 V P D 8 r p q 6 Q A A A D p A A A A E w A A A A A A A A A A A A A A A A D z A A A A W 0 N v b n R l b n R f V H l w Z X N d L n h t b F B L A Q I t A B Q A A g A I A E V D Z U 8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P F p S R 5 s 0 l Q o f 6 i S 0 W F / t e A A A A A A I A A A A A A B B m A A A A A Q A A I A A A A M J m 2 G l h b x L L / v B 4 u L 3 2 k F N k M P K r q G z X Q U t X E t p 7 R h m 3 A A A A A A 6 A A A A A A g A A I A A A A G 1 K 6 K Z 6 9 B T W T k l 1 K i j I W Z 2 S 9 S q O m x 7 g 8 s u e H B 4 m m A z S U A A A A C S w O c S 4 u + o S 7 S E D r E x M Y e f Z K d r O O F m o e y n k h r j R x y C M G O 0 t m f N l q m K n C 5 1 Z 1 Z g 5 A b 0 9 X R t j W K b c o L y 1 C N G d q o X S d d d P Y A C r 8 S I 8 Z K L C Y m / / Q A A A A F P i V e W E S v t c V 5 h m l n O U C N T p G 2 3 I 0 e 8 u O v v 0 N G V X 7 L 8 C 0 / d N G P + f A N S G f 2 U 3 4 8 H N c + v Q p 0 Z r W A J u 9 8 C G t m L 5 B 0 c = < / D a t a M a s h u p > 
</file>

<file path=customXml/itemProps1.xml><?xml version="1.0" encoding="utf-8"?>
<ds:datastoreItem xmlns:ds="http://schemas.openxmlformats.org/officeDocument/2006/customXml" ds:itemID="{9655B04E-5A2C-48FA-B026-DFEA2D69F6C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Contact Info</vt:lpstr>
      <vt:lpstr>WHEAT PRICES</vt:lpstr>
      <vt:lpstr>Wheat Farm Margins</vt:lpstr>
      <vt:lpstr>Assumptions</vt:lpstr>
      <vt:lpstr>Margins W GP</vt:lpstr>
      <vt:lpstr>Grain vs Hay</vt:lpstr>
      <vt:lpstr>Wheat - ROI - POG Pricing</vt:lpstr>
      <vt:lpstr>What - POG with No Drag Yields</vt:lpstr>
      <vt:lpstr>Grazing + Stockers</vt:lpstr>
      <vt:lpstr>Comb without stock</vt:lpstr>
      <vt:lpstr>Sheet9</vt:lpstr>
      <vt:lpstr>Comb with stokers</vt:lpstr>
      <vt:lpstr>Sheet10</vt:lpstr>
      <vt:lpstr>Weaning Weights</vt:lpstr>
      <vt:lpstr>Wheat Grain</vt:lpstr>
      <vt:lpstr>Wheat Dual  ~700Lb</vt:lpstr>
      <vt:lpstr>Wheat Dual ~800Lb</vt:lpstr>
      <vt:lpstr>Sheet7</vt:lpstr>
      <vt:lpstr>Wheat Graze Out</vt:lpstr>
      <vt:lpstr>Fescue Imp</vt:lpstr>
      <vt:lpstr>Fescue Established</vt:lpstr>
      <vt:lpstr>Triticale</vt:lpstr>
      <vt:lpstr>Irrigated Wheat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Pancho J. Abello</dc:creator>
  <cp:lastModifiedBy>Pancho J. Abello</cp:lastModifiedBy>
  <dcterms:created xsi:type="dcterms:W3CDTF">2019-09-30T18:21:19Z</dcterms:created>
  <dcterms:modified xsi:type="dcterms:W3CDTF">2022-09-29T13:48:04Z</dcterms:modified>
</cp:coreProperties>
</file>